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902F6536-DCB4-45E4-B86B-66AF67985D7E}" xr6:coauthVersionLast="47" xr6:coauthVersionMax="47" xr10:uidLastSave="{00000000-0000-0000-0000-000000000000}"/>
  <bookViews>
    <workbookView xWindow="28680" yWindow="-120" windowWidth="29040" windowHeight="15840" tabRatio="773" activeTab="2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8" i="4" l="1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7" i="4"/>
  <c r="CE3" i="6"/>
  <c r="V8" i="4" l="1"/>
  <c r="V9" i="4" l="1"/>
  <c r="AL114" i="6"/>
  <c r="AK114" i="6"/>
  <c r="AJ114" i="6"/>
  <c r="AL113" i="6"/>
  <c r="AK113" i="6"/>
  <c r="AJ113" i="6"/>
  <c r="AL112" i="6"/>
  <c r="AK112" i="6"/>
  <c r="AJ112" i="6"/>
  <c r="R133" i="6"/>
  <c r="R132" i="6"/>
  <c r="V10" i="4" l="1"/>
  <c r="AI20" i="5"/>
  <c r="BL3" i="6" s="1"/>
  <c r="AJ29" i="5"/>
  <c r="V11" i="4" l="1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2" i="4" l="1"/>
  <c r="C50" i="5"/>
  <c r="A48" i="5"/>
  <c r="AF30" i="5"/>
  <c r="AE30" i="5"/>
  <c r="AD30" i="5"/>
  <c r="AF10" i="5"/>
  <c r="AE10" i="5"/>
  <c r="AD10" i="5"/>
  <c r="V13" i="4" l="1"/>
  <c r="AI29" i="5"/>
  <c r="X8" i="5" s="1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4" i="4" l="1"/>
  <c r="V2" i="12"/>
  <c r="V15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V16" i="4" l="1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V17" i="4" l="1"/>
  <c r="O45" i="6"/>
  <c r="P45" i="6"/>
  <c r="V18" i="4" l="1"/>
  <c r="N45" i="6"/>
  <c r="D124" i="4"/>
  <c r="V19" i="4" l="1"/>
  <c r="M45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BR140" i="9"/>
  <c r="BR199" i="9"/>
  <c r="BQ212" i="9"/>
  <c r="BG206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R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B446" i="6" s="1"/>
  <c r="E446" i="6" s="1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CG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1" i="6"/>
  <c r="E441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BV16" i="18"/>
  <c r="CF75" i="18"/>
  <c r="BM29" i="18"/>
  <c r="BV30" i="18"/>
  <c r="CF43" i="18"/>
  <c r="BM24" i="18"/>
  <c r="BL32" i="18"/>
  <c r="CG33" i="18"/>
  <c r="BL36" i="18"/>
  <c r="BL44" i="18"/>
  <c r="BV73" i="18"/>
  <c r="BV79" i="18"/>
  <c r="AW69" i="9"/>
  <c r="BM16" i="18"/>
  <c r="BM37" i="18"/>
  <c r="AX75" i="9"/>
  <c r="BV26" i="18"/>
  <c r="BV22" i="18"/>
  <c r="BW22" i="18"/>
  <c r="BV42" i="18"/>
  <c r="BV38" i="18"/>
  <c r="BW38" i="18"/>
  <c r="BH71" i="9"/>
  <c r="BV24" i="18"/>
  <c r="BG7" i="9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V20" i="4" l="1"/>
  <c r="B442" i="6"/>
  <c r="E442" i="6" s="1"/>
  <c r="B434" i="6"/>
  <c r="E434" i="6" s="1"/>
  <c r="AW197" i="9"/>
  <c r="B438" i="6"/>
  <c r="E438" i="6" s="1"/>
  <c r="CF38" i="18"/>
  <c r="AX199" i="9"/>
  <c r="CF79" i="18"/>
  <c r="CG10" i="18"/>
  <c r="CF30" i="18"/>
  <c r="CF26" i="18"/>
  <c r="CF18" i="18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V21" i="4" l="1"/>
  <c r="CC45" i="18"/>
  <c r="V143" i="6"/>
  <c r="AP228" i="7" s="1"/>
  <c r="AQ228" i="7" s="1"/>
  <c r="AW243" i="7" s="1"/>
  <c r="AV243" i="7" s="1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V22" i="4" l="1"/>
  <c r="H37" i="5"/>
  <c r="H35" i="5"/>
  <c r="H36" i="5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AE238" i="6" l="1"/>
  <c r="Z284" i="6" s="1"/>
  <c r="X247" i="6"/>
  <c r="C293" i="6" s="1"/>
  <c r="G6" i="6"/>
  <c r="G51" i="6" s="1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AB239" i="6" s="1"/>
  <c r="Q285" i="6" s="1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27" i="18"/>
  <c r="CI27" i="18" s="1"/>
  <c r="CH18" i="18"/>
  <c r="CI18" i="18" s="1"/>
  <c r="CH28" i="18"/>
  <c r="CI28" i="18" s="1"/>
  <c r="I18" i="16"/>
  <c r="U64" i="16" s="1"/>
  <c r="H19" i="16"/>
  <c r="CH43" i="18"/>
  <c r="CI43" i="18" s="1"/>
  <c r="CH34" i="18"/>
  <c r="CI34" i="18" s="1"/>
  <c r="CH44" i="18"/>
  <c r="CI44" i="18" s="1"/>
  <c r="CH23" i="18"/>
  <c r="CI23" i="18" s="1"/>
  <c r="BN11" i="18"/>
  <c r="BO11" i="18" s="1"/>
  <c r="BN32" i="18"/>
  <c r="BO32" i="18" s="1"/>
  <c r="BN42" i="18"/>
  <c r="BO42" i="18" s="1"/>
  <c r="BN20" i="18"/>
  <c r="BO20" i="18" s="1"/>
  <c r="H6" i="6"/>
  <c r="G474" i="6"/>
  <c r="G190" i="6"/>
  <c r="CH39" i="18"/>
  <c r="CI39" i="18" s="1"/>
  <c r="CH20" i="18"/>
  <c r="CI20" i="18" s="1"/>
  <c r="CH13" i="18"/>
  <c r="CI13" i="18" s="1"/>
  <c r="CH11" i="18"/>
  <c r="CI11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10" i="18"/>
  <c r="CI10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G96" i="6"/>
  <c r="G147" i="6"/>
  <c r="G11" i="20" s="1"/>
  <c r="G40" i="20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X266" i="6" s="1"/>
  <c r="C312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T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F266" i="6"/>
  <c r="E266" i="6"/>
  <c r="T266" i="6"/>
  <c r="O263" i="6"/>
  <c r="Y262" i="6"/>
  <c r="F308" i="6" s="1"/>
  <c r="C224" i="6"/>
  <c r="C227" i="6"/>
  <c r="E260" i="6"/>
  <c r="C216" i="6"/>
  <c r="AD262" i="6"/>
  <c r="W308" i="6" s="1"/>
  <c r="S268" i="6"/>
  <c r="M268" i="6"/>
  <c r="E268" i="6"/>
  <c r="C268" i="6"/>
  <c r="F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G266" i="6" l="1"/>
  <c r="F264" i="6"/>
  <c r="E264" i="6"/>
  <c r="U264" i="6" s="1"/>
  <c r="N266" i="6"/>
  <c r="S266" i="6"/>
  <c r="D266" i="6"/>
  <c r="M266" i="6"/>
  <c r="H46" i="5"/>
  <c r="H268" i="6"/>
  <c r="AE268" i="6" s="1"/>
  <c r="Z314" i="6" s="1"/>
  <c r="I268" i="6"/>
  <c r="D268" i="6"/>
  <c r="G268" i="6"/>
  <c r="N268" i="6"/>
  <c r="S260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A268" i="6"/>
  <c r="L314" i="6" s="1"/>
  <c r="AD264" i="6"/>
  <c r="W310" i="6" s="1"/>
  <c r="O264" i="6"/>
  <c r="AB263" i="6" s="1"/>
  <c r="Q309" i="6" s="1"/>
  <c r="Z268" i="6"/>
  <c r="I314" i="6" s="1"/>
  <c r="U268" i="6"/>
  <c r="I261" i="6"/>
  <c r="S261" i="6"/>
  <c r="F261" i="6"/>
  <c r="AA260" i="6" s="1"/>
  <c r="L306" i="6" s="1"/>
  <c r="T261" i="6"/>
  <c r="E261" i="6"/>
  <c r="Z260" i="6" s="1"/>
  <c r="I306" i="6" s="1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U260" i="6" l="1"/>
  <c r="O268" i="6"/>
  <c r="Z264" i="6"/>
  <c r="I310" i="6" s="1"/>
  <c r="AF267" i="6"/>
  <c r="AC313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AD312" i="6" l="1"/>
  <c r="D312" i="6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AD307" i="6"/>
  <c r="AE312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M308" i="6" l="1"/>
  <c r="N313" i="6" s="1"/>
  <c r="AZ40" i="6" s="1"/>
  <c r="BV40" i="6" s="1"/>
  <c r="E313" i="6"/>
  <c r="AW40" i="6" s="1"/>
  <c r="BS40" i="6" s="1"/>
  <c r="D307" i="6"/>
  <c r="V315" i="6"/>
  <c r="BB42" i="6" s="1"/>
  <c r="BW42" i="6" s="1"/>
  <c r="H315" i="6"/>
  <c r="AX42" i="6" s="1"/>
  <c r="AA308" i="6"/>
  <c r="AB313" i="6" s="1"/>
  <c r="X308" i="6"/>
  <c r="Y313" i="6" s="1"/>
  <c r="J308" i="6"/>
  <c r="K313" i="6" s="1"/>
  <c r="AY41" i="6"/>
  <c r="BU41" i="6" s="1"/>
  <c r="AD306" i="6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M307" i="6" l="1"/>
  <c r="N312" i="6" s="1"/>
  <c r="AZ39" i="6" s="1"/>
  <c r="BV39" i="6" s="1"/>
  <c r="E312" i="6"/>
  <c r="AW39" i="6" s="1"/>
  <c r="BS39" i="6" s="1"/>
  <c r="D306" i="6"/>
  <c r="BN42" i="6"/>
  <c r="BO42" i="6" s="1"/>
  <c r="BT42" i="6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M306" i="6" l="1"/>
  <c r="N311" i="6" s="1"/>
  <c r="AZ38" i="6" s="1"/>
  <c r="BV38" i="6" s="1"/>
  <c r="E311" i="6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C10" i="4" s="1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F10" i="4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C12" i="4" s="1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F12" i="4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F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U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C21" i="4" l="1"/>
  <c r="M18" i="8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U22" i="4" s="1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F21" i="4" l="1"/>
  <c r="U21" i="4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D21" i="8" l="1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135" i="6"/>
  <c r="Q168" i="6"/>
  <c r="Q212" i="6" s="1"/>
  <c r="Q170" i="6"/>
  <c r="Q161" i="6"/>
  <c r="Q166" i="6"/>
  <c r="Q154" i="6"/>
  <c r="Q206" i="6" l="1"/>
  <c r="T249" i="6" s="1"/>
  <c r="Q14" i="20"/>
  <c r="AD65" i="5"/>
  <c r="AD64" i="5"/>
  <c r="R143" i="6"/>
  <c r="S249" i="6"/>
  <c r="E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249" i="6" l="1"/>
  <c r="F249" i="6"/>
  <c r="H32" i="5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AA249" i="6" l="1"/>
  <c r="L295" i="6" s="1"/>
  <c r="AA248" i="6"/>
  <c r="L294" i="6" s="1"/>
  <c r="Y303" i="6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D286" i="6" l="1"/>
  <c r="D285" i="6" s="1"/>
  <c r="D284" i="6" s="1"/>
  <c r="D283" i="6" s="1"/>
  <c r="D282" i="6" s="1"/>
  <c r="D281" i="6" s="1"/>
  <c r="E292" i="6"/>
  <c r="AN288" i="6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R276" i="6" s="1"/>
  <c r="BA101" i="7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E293" i="6" l="1"/>
  <c r="AD287" i="6"/>
  <c r="AE292" i="6" s="1"/>
  <c r="BN33" i="6"/>
  <c r="BO33" i="6" s="1"/>
  <c r="C33" i="18" s="1"/>
  <c r="AD286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 l="1"/>
  <c r="BA100" i="7" s="1"/>
  <c r="BQ33" i="6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E209" i="13" l="1"/>
  <c r="I209" i="13" s="1"/>
  <c r="P157" i="13"/>
  <c r="AL21" i="18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O209" i="13"/>
  <c r="P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I210" i="13" l="1"/>
  <c r="J209" i="13"/>
  <c r="Z79" i="9"/>
  <c r="AA79" i="9" s="1"/>
  <c r="AB79" i="9" s="1"/>
  <c r="AD79" i="9" s="1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C203" i="9" l="1"/>
  <c r="AC79" i="9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AW19" i="6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DD25" i="9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H101" i="8" l="1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DE25" i="9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D21" i="4" s="1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DD28" i="9" l="1"/>
  <c r="DE28" i="9" s="1"/>
  <c r="DF28" i="9" s="1"/>
  <c r="DH28" i="9" s="1"/>
  <c r="H98" i="8"/>
  <c r="J98" i="8" s="1"/>
  <c r="CZ8" i="9" s="1"/>
  <c r="DC29" i="9" s="1"/>
  <c r="AP315" i="7" s="1"/>
  <c r="AQ315" i="7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DD29" i="9" l="1"/>
  <c r="DE29" i="9" s="1"/>
  <c r="DF29" i="9" s="1"/>
  <c r="DG29" i="9" s="1"/>
  <c r="H97" i="8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DH29" i="9" l="1"/>
  <c r="AP316" i="7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S34" i="4"/>
  <c r="D61" i="8" s="1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D10" i="4" s="1"/>
  <c r="O34" i="4"/>
  <c r="AM213" i="9"/>
  <c r="AN213" i="9"/>
  <c r="AB12" i="16"/>
  <c r="Z12" i="16"/>
  <c r="AM90" i="9"/>
  <c r="AN90" i="9"/>
  <c r="AX90" i="9"/>
  <c r="AW90" i="9"/>
  <c r="AB14" i="16"/>
  <c r="Z14" i="16"/>
  <c r="BQ13" i="6"/>
  <c r="D12" i="4" s="1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AP120" i="7"/>
  <c r="Q9" i="8" l="1"/>
  <c r="Q23" i="8" s="1"/>
  <c r="V23" i="8"/>
  <c r="U32" i="8" s="1"/>
  <c r="W23" i="8"/>
  <c r="W32" i="8" l="1"/>
  <c r="L22" i="8" s="1"/>
  <c r="U24" i="8"/>
  <c r="W24" i="8"/>
  <c r="W27" i="8" l="1"/>
  <c r="W28" i="8" s="1"/>
  <c r="E78" i="5" l="1"/>
  <c r="L79" i="5" l="1"/>
  <c r="J98" i="5"/>
  <c r="K102" i="5" s="1"/>
  <c r="AF21" i="12" l="1"/>
  <c r="AF20" i="12"/>
  <c r="AF22" i="12"/>
  <c r="J120" i="5"/>
  <c r="J119" i="5"/>
  <c r="J118" i="5"/>
  <c r="I79" i="5"/>
  <c r="M79" i="5" s="1"/>
  <c r="I80" i="5"/>
  <c r="L80" i="5"/>
  <c r="M80" i="5" s="1"/>
  <c r="E79" i="5"/>
  <c r="E80" i="5"/>
  <c r="C78" i="5"/>
  <c r="C79" i="5"/>
  <c r="C80" i="5"/>
  <c r="H36" i="8"/>
  <c r="J36" i="8" s="1"/>
  <c r="K36" i="8" s="1"/>
  <c r="E49" i="8" s="1"/>
  <c r="H31" i="8" l="1"/>
  <c r="J31" i="8" s="1"/>
  <c r="K31" i="8" s="1"/>
  <c r="E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H32" i="8"/>
  <c r="J32" i="8" s="1"/>
  <c r="K32" i="8" s="1"/>
  <c r="E45" i="8" s="1"/>
  <c r="H30" i="8"/>
  <c r="J30" i="8" s="1"/>
  <c r="K30" i="8" s="1"/>
  <c r="E43" i="8" s="1"/>
  <c r="H34" i="8"/>
  <c r="J34" i="8" s="1"/>
  <c r="K34" i="8" s="1"/>
  <c r="E47" i="8" s="1"/>
  <c r="H35" i="8"/>
  <c r="J35" i="8" s="1"/>
  <c r="K35" i="8" s="1"/>
  <c r="E48" i="8" s="1"/>
  <c r="H27" i="8"/>
  <c r="J27" i="8" s="1"/>
  <c r="K27" i="8" s="1"/>
  <c r="E40" i="8" s="1"/>
  <c r="N40" i="8" s="1"/>
  <c r="H85" i="8" l="1"/>
  <c r="J85" i="8" s="1"/>
  <c r="CZ21" i="9" s="1"/>
  <c r="DC42" i="9" s="1"/>
  <c r="W11" i="5"/>
  <c r="H87" i="8"/>
  <c r="J87" i="8" s="1"/>
  <c r="CZ19" i="9" s="1"/>
  <c r="DC40" i="9" s="1"/>
  <c r="W13" i="5"/>
  <c r="H86" i="8"/>
  <c r="J86" i="8" s="1"/>
  <c r="CZ20" i="9" s="1"/>
  <c r="DC41" i="9" s="1"/>
  <c r="W12" i="5"/>
  <c r="DC43" i="9" l="1"/>
  <c r="AP326" i="7"/>
  <c r="AQ326" i="7" s="1"/>
  <c r="DD40" i="9"/>
  <c r="DE40" i="9" s="1"/>
  <c r="DF40" i="9" s="1"/>
  <c r="DJ40" i="9"/>
  <c r="AS326" i="7" s="1"/>
  <c r="AP327" i="7"/>
  <c r="AQ327" i="7" s="1"/>
  <c r="DD41" i="9"/>
  <c r="DE41" i="9" s="1"/>
  <c r="DF41" i="9" s="1"/>
  <c r="DJ41" i="9"/>
  <c r="AS327" i="7" s="1"/>
  <c r="AP328" i="7"/>
  <c r="AQ328" i="7" s="1"/>
  <c r="DD42" i="9"/>
  <c r="DE42" i="9" s="1"/>
  <c r="DF42" i="9" s="1"/>
  <c r="DJ42" i="9"/>
  <c r="AS328" i="7" s="1"/>
  <c r="AM9" i="18" l="1"/>
  <c r="DG41" i="9"/>
  <c r="DH41" i="9"/>
  <c r="DG42" i="9"/>
  <c r="DH42" i="9"/>
  <c r="DH40" i="9"/>
  <c r="DG40" i="9"/>
  <c r="DE43" i="9"/>
  <c r="DC46" i="9" s="1"/>
  <c r="DD43" i="9"/>
  <c r="E83" i="5" l="1"/>
  <c r="E82" i="5"/>
  <c r="E85" i="5"/>
  <c r="E81" i="5"/>
  <c r="E84" i="5"/>
  <c r="E86" i="5"/>
  <c r="AM16" i="18"/>
  <c r="AM23" i="18"/>
  <c r="AM20" i="18"/>
  <c r="AM31" i="18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26" i="18"/>
  <c r="AM32" i="18"/>
  <c r="DD44" i="9"/>
  <c r="DC47" i="9"/>
  <c r="DC51" i="9" s="1"/>
  <c r="DF43" i="9"/>
  <c r="DF44" i="9" s="1"/>
  <c r="DC50" i="9" s="1"/>
  <c r="DC53" i="9" s="1"/>
  <c r="L81" i="5" l="1"/>
  <c r="AZ20" i="7"/>
  <c r="AZ23" i="7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M81" i="5" l="1"/>
  <c r="L10" i="16" l="1"/>
  <c r="V10" i="16" s="1"/>
  <c r="V56" i="16"/>
  <c r="W10" i="16" l="1"/>
  <c r="AA10" i="16"/>
  <c r="X10" i="16"/>
  <c r="AZ31" i="7" l="1"/>
  <c r="AZ29" i="7"/>
  <c r="AZ25" i="7"/>
  <c r="AZ27" i="7"/>
  <c r="AZ26" i="7"/>
  <c r="AZ28" i="7"/>
  <c r="AZ30" i="7"/>
  <c r="AZ32" i="7"/>
  <c r="M9" i="4" l="1"/>
  <c r="M10" i="4"/>
  <c r="M11" i="4"/>
  <c r="E19" i="4"/>
  <c r="G19" i="4" s="1"/>
  <c r="E20" i="4"/>
  <c r="G20" i="4" s="1"/>
  <c r="E21" i="4"/>
  <c r="G21" i="4" s="1"/>
  <c r="M20" i="4" l="1"/>
  <c r="E18" i="4"/>
  <c r="G18" i="4" s="1"/>
  <c r="M19" i="4"/>
  <c r="E17" i="4"/>
  <c r="G17" i="4" s="1"/>
  <c r="M18" i="4"/>
  <c r="E16" i="4"/>
  <c r="G16" i="4" s="1"/>
  <c r="M17" i="4"/>
  <c r="E15" i="4"/>
  <c r="G15" i="4" s="1"/>
  <c r="M16" i="4"/>
  <c r="E14" i="4"/>
  <c r="G14" i="4" s="1"/>
  <c r="M15" i="4"/>
  <c r="E13" i="4"/>
  <c r="G13" i="4" s="1"/>
  <c r="M14" i="4"/>
  <c r="E12" i="4"/>
  <c r="G12" i="4" s="1"/>
  <c r="M13" i="4"/>
  <c r="E11" i="4"/>
  <c r="G11" i="4" s="1"/>
  <c r="M12" i="4"/>
  <c r="E10" i="4"/>
  <c r="G10" i="4" s="1"/>
  <c r="G29" i="4" s="1"/>
  <c r="K16" i="4" l="1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W21" i="5" s="1"/>
  <c r="X21" i="5" s="1"/>
  <c r="K20" i="4"/>
  <c r="P20" i="4" s="1"/>
  <c r="R20" i="4" s="1"/>
  <c r="L42" i="4" s="1"/>
  <c r="R42" i="4" s="1"/>
  <c r="V22" i="5" s="1"/>
  <c r="W22" i="5" l="1"/>
  <c r="X22" i="5"/>
  <c r="C18" i="18"/>
  <c r="C45" i="10"/>
  <c r="C21" i="5"/>
  <c r="H44" i="8"/>
  <c r="N44" i="8" s="1"/>
  <c r="R35" i="4"/>
  <c r="V15" i="5" s="1"/>
  <c r="H48" i="8"/>
  <c r="N48" i="8" s="1"/>
  <c r="R39" i="4"/>
  <c r="V19" i="5" s="1"/>
  <c r="H43" i="8"/>
  <c r="N43" i="8" s="1"/>
  <c r="R34" i="4"/>
  <c r="V14" i="5" s="1"/>
  <c r="H40" i="8"/>
  <c r="R31" i="4"/>
  <c r="V11" i="5" s="1"/>
  <c r="X11" i="5" s="1"/>
  <c r="H42" i="8"/>
  <c r="R33" i="4"/>
  <c r="V13" i="5" s="1"/>
  <c r="X13" i="5" s="1"/>
  <c r="H46" i="8"/>
  <c r="N46" i="8" s="1"/>
  <c r="R37" i="4"/>
  <c r="V17" i="5" s="1"/>
  <c r="H45" i="8"/>
  <c r="N45" i="8" s="1"/>
  <c r="R36" i="4"/>
  <c r="V16" i="5" s="1"/>
  <c r="R40" i="4"/>
  <c r="V20" i="5" s="1"/>
  <c r="H49" i="8"/>
  <c r="N49" i="8" s="1"/>
  <c r="R32" i="4"/>
  <c r="V12" i="5" s="1"/>
  <c r="X12" i="5" s="1"/>
  <c r="H41" i="8"/>
  <c r="R38" i="4"/>
  <c r="V18" i="5" s="1"/>
  <c r="H47" i="8"/>
  <c r="N47" i="8" s="1"/>
  <c r="H92" i="8" l="1"/>
  <c r="J92" i="8" s="1"/>
  <c r="CZ14" i="9" s="1"/>
  <c r="DC35" i="9" s="1"/>
  <c r="W18" i="5"/>
  <c r="X18" i="5" s="1"/>
  <c r="C54" i="10"/>
  <c r="C9" i="18"/>
  <c r="C12" i="5"/>
  <c r="H94" i="8"/>
  <c r="J94" i="8" s="1"/>
  <c r="CZ12" i="9" s="1"/>
  <c r="DC33" i="9" s="1"/>
  <c r="W20" i="5"/>
  <c r="X20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C10" i="18"/>
  <c r="C53" i="10"/>
  <c r="C13" i="5"/>
  <c r="C8" i="18"/>
  <c r="Y11" i="5"/>
  <c r="AB28" i="5" s="1"/>
  <c r="Y13" i="5"/>
  <c r="AB26" i="5" s="1"/>
  <c r="Y12" i="5"/>
  <c r="AB27" i="5" s="1"/>
  <c r="C55" i="10"/>
  <c r="C11" i="5"/>
  <c r="H88" i="8"/>
  <c r="J88" i="8" s="1"/>
  <c r="CZ18" i="9" s="1"/>
  <c r="DC39" i="9" s="1"/>
  <c r="W14" i="5"/>
  <c r="X14" i="5" s="1"/>
  <c r="H93" i="8"/>
  <c r="J93" i="8" s="1"/>
  <c r="CZ13" i="9" s="1"/>
  <c r="DC34" i="9" s="1"/>
  <c r="W19" i="5"/>
  <c r="X19" i="5" s="1"/>
  <c r="H89" i="8"/>
  <c r="J89" i="8" s="1"/>
  <c r="CZ17" i="9" s="1"/>
  <c r="DC38" i="9" s="1"/>
  <c r="W15" i="5"/>
  <c r="X15" i="5" s="1"/>
  <c r="C88" i="5"/>
  <c r="AB38" i="20"/>
  <c r="AB41" i="20" s="1"/>
  <c r="E21" i="5"/>
  <c r="Y41" i="4"/>
  <c r="C155" i="5"/>
  <c r="H155" i="5" s="1"/>
  <c r="J155" i="5" s="1"/>
  <c r="E45" i="10"/>
  <c r="G45" i="10" s="1"/>
  <c r="F45" i="10"/>
  <c r="AS190" i="7"/>
  <c r="G18" i="18"/>
  <c r="F18" i="18"/>
  <c r="H18" i="18"/>
  <c r="AH34" i="18" s="1"/>
  <c r="C19" i="18"/>
  <c r="C44" i="10"/>
  <c r="C22" i="5"/>
  <c r="C89" i="5" l="1"/>
  <c r="E22" i="5"/>
  <c r="R122" i="5"/>
  <c r="C156" i="5"/>
  <c r="H156" i="5" s="1"/>
  <c r="J156" i="5" s="1"/>
  <c r="AA38" i="20"/>
  <c r="AA41" i="20" s="1"/>
  <c r="Y42" i="4"/>
  <c r="R121" i="5"/>
  <c r="AS189" i="7"/>
  <c r="E44" i="10"/>
  <c r="G44" i="10" s="1"/>
  <c r="F44" i="10"/>
  <c r="H19" i="18"/>
  <c r="AH33" i="18" s="1"/>
  <c r="F19" i="18"/>
  <c r="G19" i="18"/>
  <c r="AQ34" i="18"/>
  <c r="AX34" i="18" s="1"/>
  <c r="AY34" i="18" s="1"/>
  <c r="AZ34" i="18" s="1"/>
  <c r="BA34" i="18" s="1"/>
  <c r="AM34" i="18"/>
  <c r="L45" i="10"/>
  <c r="J45" i="10"/>
  <c r="B34" i="12"/>
  <c r="E34" i="12" s="1"/>
  <c r="L32" i="9"/>
  <c r="AT34" i="7"/>
  <c r="C173" i="13"/>
  <c r="AY34" i="7"/>
  <c r="AP58" i="7" s="1"/>
  <c r="AQ58" i="7" s="1"/>
  <c r="AR58" i="7" s="1"/>
  <c r="AL34" i="18"/>
  <c r="AA41" i="4"/>
  <c r="J68" i="8"/>
  <c r="M68" i="8" s="1"/>
  <c r="E88" i="5"/>
  <c r="L21" i="5"/>
  <c r="F21" i="5"/>
  <c r="F88" i="5" s="1"/>
  <c r="J21" i="5"/>
  <c r="C12" i="18"/>
  <c r="C51" i="10"/>
  <c r="C15" i="5"/>
  <c r="AP324" i="7"/>
  <c r="AQ324" i="7" s="1"/>
  <c r="DD38" i="9"/>
  <c r="DE38" i="9" s="1"/>
  <c r="DF38" i="9" s="1"/>
  <c r="C16" i="18"/>
  <c r="C47" i="10"/>
  <c r="C19" i="5"/>
  <c r="AP320" i="7"/>
  <c r="AQ320" i="7" s="1"/>
  <c r="DD34" i="9"/>
  <c r="DE34" i="9" s="1"/>
  <c r="DF34" i="9" s="1"/>
  <c r="C52" i="10"/>
  <c r="C11" i="18"/>
  <c r="C14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Y19" i="5"/>
  <c r="AB20" i="5" s="1"/>
  <c r="Y40" i="5"/>
  <c r="Y42" i="5"/>
  <c r="Y18" i="5"/>
  <c r="AB21" i="5" s="1"/>
  <c r="Y36" i="5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39" i="5"/>
  <c r="Y31" i="5"/>
  <c r="Y32" i="5"/>
  <c r="Y43" i="5"/>
  <c r="AP325" i="7"/>
  <c r="AQ325" i="7" s="1"/>
  <c r="DD39" i="9"/>
  <c r="DE39" i="9" s="1"/>
  <c r="DF39" i="9" s="1"/>
  <c r="DJ39" i="9"/>
  <c r="AS325" i="7" s="1"/>
  <c r="Y31" i="4"/>
  <c r="AL38" i="20"/>
  <c r="G62" i="5"/>
  <c r="R111" i="5"/>
  <c r="E11" i="5"/>
  <c r="F55" i="10"/>
  <c r="AS200" i="7"/>
  <c r="E55" i="10"/>
  <c r="G55" i="10" s="1"/>
  <c r="F8" i="18"/>
  <c r="G8" i="18"/>
  <c r="H8" i="18"/>
  <c r="AH44" i="18" s="1"/>
  <c r="E13" i="5"/>
  <c r="AJ38" i="20"/>
  <c r="Y33" i="4"/>
  <c r="C147" i="5"/>
  <c r="H147" i="5" s="1"/>
  <c r="J147" i="5" s="1"/>
  <c r="R113" i="5"/>
  <c r="F53" i="10"/>
  <c r="E53" i="10"/>
  <c r="G53" i="10" s="1"/>
  <c r="AS198" i="7"/>
  <c r="F10" i="18"/>
  <c r="G10" i="18"/>
  <c r="H10" i="18"/>
  <c r="AH42" i="18" s="1"/>
  <c r="C14" i="18"/>
  <c r="C49" i="10"/>
  <c r="C17" i="5"/>
  <c r="AP322" i="7"/>
  <c r="AQ322" i="7" s="1"/>
  <c r="DD36" i="9"/>
  <c r="DE36" i="9" s="1"/>
  <c r="DF36" i="9" s="1"/>
  <c r="C13" i="18"/>
  <c r="C50" i="10"/>
  <c r="C16" i="5"/>
  <c r="DD37" i="9"/>
  <c r="DE37" i="9" s="1"/>
  <c r="DF37" i="9" s="1"/>
  <c r="AP323" i="7"/>
  <c r="AQ323" i="7" s="1"/>
  <c r="C17" i="18"/>
  <c r="C46" i="10"/>
  <c r="C20" i="5"/>
  <c r="AP319" i="7"/>
  <c r="AQ319" i="7" s="1"/>
  <c r="DD33" i="9"/>
  <c r="DE33" i="9" s="1"/>
  <c r="DF33" i="9" s="1"/>
  <c r="Y32" i="4"/>
  <c r="E12" i="5"/>
  <c r="AK38" i="20"/>
  <c r="C146" i="5"/>
  <c r="R112" i="5"/>
  <c r="G9" i="18"/>
  <c r="F9" i="18"/>
  <c r="H9" i="18"/>
  <c r="AH43" i="18" s="1"/>
  <c r="F54" i="10"/>
  <c r="E54" i="10"/>
  <c r="G54" i="10" s="1"/>
  <c r="AS199" i="7"/>
  <c r="C15" i="18"/>
  <c r="C48" i="10"/>
  <c r="C18" i="5"/>
  <c r="AP321" i="7"/>
  <c r="AQ321" i="7" s="1"/>
  <c r="DD35" i="9"/>
  <c r="DE35" i="9" s="1"/>
  <c r="DF35" i="9" s="1"/>
  <c r="DH35" i="9" l="1"/>
  <c r="DG35" i="9"/>
  <c r="C85" i="5"/>
  <c r="AE38" i="20"/>
  <c r="C152" i="5"/>
  <c r="H152" i="5" s="1"/>
  <c r="J152" i="5" s="1"/>
  <c r="Y38" i="4"/>
  <c r="R118" i="5"/>
  <c r="E18" i="5"/>
  <c r="E48" i="10"/>
  <c r="G48" i="10" s="1"/>
  <c r="AS193" i="7"/>
  <c r="F48" i="10"/>
  <c r="H15" i="18"/>
  <c r="AH37" i="18" s="1"/>
  <c r="F15" i="18"/>
  <c r="G15" i="18"/>
  <c r="AY43" i="7"/>
  <c r="AP67" i="7" s="1"/>
  <c r="AQ67" i="7" s="1"/>
  <c r="AR67" i="7" s="1"/>
  <c r="AL43" i="18"/>
  <c r="J54" i="10"/>
  <c r="C182" i="13"/>
  <c r="AT43" i="7"/>
  <c r="L54" i="10"/>
  <c r="B43" i="12"/>
  <c r="E43" i="12" s="1"/>
  <c r="L41" i="9"/>
  <c r="AQ43" i="18"/>
  <c r="AX43" i="18" s="1"/>
  <c r="AY43" i="18" s="1"/>
  <c r="AZ43" i="18" s="1"/>
  <c r="BA43" i="18" s="1"/>
  <c r="AM43" i="18"/>
  <c r="H146" i="5"/>
  <c r="L12" i="5"/>
  <c r="J12" i="5"/>
  <c r="F12" i="5"/>
  <c r="F79" i="5" s="1"/>
  <c r="AA32" i="4"/>
  <c r="J59" i="8"/>
  <c r="M59" i="8" s="1"/>
  <c r="DG33" i="9"/>
  <c r="DG43" i="9" s="1"/>
  <c r="DG44" i="9" s="1"/>
  <c r="DC52" i="9" s="1"/>
  <c r="DH33" i="9"/>
  <c r="DH43" i="9" s="1"/>
  <c r="DH44" i="9" s="1"/>
  <c r="DC49" i="9" s="1"/>
  <c r="DC54" i="9" s="1"/>
  <c r="C87" i="5"/>
  <c r="Y40" i="4"/>
  <c r="C154" i="5"/>
  <c r="H154" i="5" s="1"/>
  <c r="J154" i="5" s="1"/>
  <c r="AC38" i="20"/>
  <c r="AC41" i="20" s="1"/>
  <c r="R120" i="5"/>
  <c r="E20" i="5"/>
  <c r="AS191" i="7"/>
  <c r="E46" i="10"/>
  <c r="G46" i="10" s="1"/>
  <c r="F46" i="10"/>
  <c r="G17" i="18"/>
  <c r="F17" i="18"/>
  <c r="H17" i="18"/>
  <c r="AH35" i="18" s="1"/>
  <c r="DH37" i="9"/>
  <c r="DG37" i="9"/>
  <c r="C83" i="5"/>
  <c r="C150" i="5"/>
  <c r="H150" i="5" s="1"/>
  <c r="J150" i="5" s="1"/>
  <c r="Y36" i="4"/>
  <c r="AG38" i="20"/>
  <c r="R116" i="5"/>
  <c r="E16" i="5"/>
  <c r="E50" i="10"/>
  <c r="G50" i="10" s="1"/>
  <c r="AS195" i="7"/>
  <c r="F50" i="10"/>
  <c r="H13" i="18"/>
  <c r="AH39" i="18" s="1"/>
  <c r="G13" i="18"/>
  <c r="F13" i="18"/>
  <c r="DH36" i="9"/>
  <c r="DG36" i="9"/>
  <c r="C84" i="5"/>
  <c r="C151" i="5"/>
  <c r="H151" i="5" s="1"/>
  <c r="J151" i="5" s="1"/>
  <c r="Y37" i="4"/>
  <c r="AF38" i="20"/>
  <c r="R117" i="5"/>
  <c r="E17" i="5"/>
  <c r="AS194" i="7"/>
  <c r="E49" i="10"/>
  <c r="G49" i="10" s="1"/>
  <c r="F49" i="10"/>
  <c r="F14" i="18"/>
  <c r="G14" i="18"/>
  <c r="H14" i="18"/>
  <c r="AH38" i="18" s="1"/>
  <c r="AM42" i="18"/>
  <c r="AQ42" i="18"/>
  <c r="AX42" i="18" s="1"/>
  <c r="AY42" i="18" s="1"/>
  <c r="AZ42" i="18" s="1"/>
  <c r="BA42" i="18" s="1"/>
  <c r="AY42" i="7"/>
  <c r="AP66" i="7" s="1"/>
  <c r="AQ66" i="7" s="1"/>
  <c r="AR66" i="7" s="1"/>
  <c r="AL42" i="18"/>
  <c r="B42" i="12"/>
  <c r="E42" i="12" s="1"/>
  <c r="C181" i="13"/>
  <c r="L40" i="9"/>
  <c r="AT42" i="7"/>
  <c r="L53" i="10"/>
  <c r="J53" i="10"/>
  <c r="J60" i="8"/>
  <c r="M60" i="8" s="1"/>
  <c r="AA33" i="4"/>
  <c r="L13" i="5"/>
  <c r="F13" i="5"/>
  <c r="F80" i="5" s="1"/>
  <c r="J13" i="5"/>
  <c r="AM44" i="18"/>
  <c r="AQ44" i="18"/>
  <c r="AX44" i="18" s="1"/>
  <c r="AY44" i="18" s="1"/>
  <c r="AZ44" i="18" s="1"/>
  <c r="BA44" i="18" s="1"/>
  <c r="AL44" i="18"/>
  <c r="AY44" i="7"/>
  <c r="AP68" i="7" s="1"/>
  <c r="AQ68" i="7" s="1"/>
  <c r="AR68" i="7" s="1"/>
  <c r="C183" i="13"/>
  <c r="B44" i="12"/>
  <c r="E44" i="12" s="1"/>
  <c r="L55" i="10"/>
  <c r="L42" i="9"/>
  <c r="J55" i="10"/>
  <c r="AT44" i="7"/>
  <c r="L11" i="5"/>
  <c r="F11" i="5"/>
  <c r="F78" i="5" s="1"/>
  <c r="J11" i="5"/>
  <c r="J58" i="8"/>
  <c r="M58" i="8" s="1"/>
  <c r="AA31" i="4"/>
  <c r="DH39" i="9"/>
  <c r="DG39" i="9"/>
  <c r="C81" i="5"/>
  <c r="Y34" i="4"/>
  <c r="C148" i="5"/>
  <c r="AI38" i="20"/>
  <c r="R114" i="5"/>
  <c r="E14" i="5"/>
  <c r="F11" i="18"/>
  <c r="G11" i="18"/>
  <c r="H11" i="18"/>
  <c r="AH41" i="18" s="1"/>
  <c r="F52" i="10"/>
  <c r="AS197" i="7"/>
  <c r="E52" i="10"/>
  <c r="G52" i="10" s="1"/>
  <c r="DG34" i="9"/>
  <c r="DH34" i="9"/>
  <c r="C86" i="5"/>
  <c r="C153" i="5"/>
  <c r="H153" i="5" s="1"/>
  <c r="J153" i="5" s="1"/>
  <c r="AD38" i="20"/>
  <c r="Y39" i="4"/>
  <c r="R119" i="5"/>
  <c r="E19" i="5"/>
  <c r="AS192" i="7"/>
  <c r="E47" i="10"/>
  <c r="G47" i="10" s="1"/>
  <c r="F47" i="10"/>
  <c r="G16" i="18"/>
  <c r="F16" i="18"/>
  <c r="H16" i="18"/>
  <c r="AH36" i="18" s="1"/>
  <c r="DG38" i="9"/>
  <c r="DH38" i="9"/>
  <c r="C82" i="5"/>
  <c r="Y35" i="4"/>
  <c r="AH38" i="20"/>
  <c r="C149" i="5"/>
  <c r="H149" i="5" s="1"/>
  <c r="J149" i="5" s="1"/>
  <c r="R115" i="5"/>
  <c r="E15" i="5"/>
  <c r="E51" i="10"/>
  <c r="G51" i="10" s="1"/>
  <c r="AS196" i="7"/>
  <c r="F51" i="10"/>
  <c r="G12" i="18"/>
  <c r="H12" i="18"/>
  <c r="AH40" i="18" s="1"/>
  <c r="F12" i="18"/>
  <c r="D22" i="17"/>
  <c r="T41" i="4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AS58" i="7"/>
  <c r="AZ34" i="7"/>
  <c r="DR32" i="9"/>
  <c r="Y32" i="9"/>
  <c r="DY32" i="9"/>
  <c r="J32" i="9"/>
  <c r="EI32" i="9"/>
  <c r="DS32" i="9"/>
  <c r="DZ32" i="9" s="1"/>
  <c r="EE32" i="9" s="1"/>
  <c r="EJ32" i="9" s="1"/>
  <c r="ED32" i="9"/>
  <c r="M32" i="9"/>
  <c r="Y94" i="9" s="1"/>
  <c r="AS34" i="18"/>
  <c r="AX96" i="18" s="1"/>
  <c r="AY96" i="18" s="1"/>
  <c r="AZ96" i="18" s="1"/>
  <c r="BA96" i="18" s="1"/>
  <c r="BC34" i="18"/>
  <c r="BB34" i="18"/>
  <c r="AQ33" i="18"/>
  <c r="AX33" i="18" s="1"/>
  <c r="AM33" i="18"/>
  <c r="B33" i="12"/>
  <c r="E33" i="12" s="1"/>
  <c r="C172" i="13"/>
  <c r="AT33" i="7"/>
  <c r="L31" i="9"/>
  <c r="L44" i="10"/>
  <c r="J44" i="10"/>
  <c r="AL33" i="18"/>
  <c r="AY33" i="7"/>
  <c r="AP57" i="7" s="1"/>
  <c r="AQ57" i="7" s="1"/>
  <c r="AR57" i="7" s="1"/>
  <c r="AA42" i="4"/>
  <c r="J69" i="8"/>
  <c r="M69" i="8" s="1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E89" i="5"/>
  <c r="F22" i="5"/>
  <c r="F89" i="5" s="1"/>
  <c r="J22" i="5"/>
  <c r="L22" i="5"/>
  <c r="I89" i="5" l="1"/>
  <c r="L89" i="5" s="1"/>
  <c r="M89" i="5" s="1"/>
  <c r="X42" i="4"/>
  <c r="I69" i="8" s="1"/>
  <c r="R22" i="5"/>
  <c r="W42" i="4" s="1"/>
  <c r="H69" i="8" s="1"/>
  <c r="M22" i="5"/>
  <c r="V42" i="4"/>
  <c r="G69" i="8" s="1"/>
  <c r="D23" i="17"/>
  <c r="T42" i="4"/>
  <c r="M31" i="9"/>
  <c r="AS33" i="18"/>
  <c r="AX95" i="18" s="1"/>
  <c r="P43" i="10"/>
  <c r="M44" i="10"/>
  <c r="M43" i="10"/>
  <c r="P42" i="10"/>
  <c r="DY31" i="9"/>
  <c r="J31" i="9"/>
  <c r="Y31" i="9"/>
  <c r="T28" i="9"/>
  <c r="ED31" i="9"/>
  <c r="DS31" i="9"/>
  <c r="DZ31" i="9" s="1"/>
  <c r="EE31" i="9" s="1"/>
  <c r="EJ31" i="9" s="1"/>
  <c r="DR31" i="9"/>
  <c r="EI31" i="9"/>
  <c r="AS57" i="7"/>
  <c r="AZ33" i="7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AY33" i="18"/>
  <c r="BC96" i="18"/>
  <c r="BB96" i="18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Z32" i="9"/>
  <c r="AA32" i="9" s="1"/>
  <c r="AB32" i="9" s="1"/>
  <c r="Y156" i="9"/>
  <c r="Z156" i="9" s="1"/>
  <c r="AA156" i="9" s="1"/>
  <c r="AB156" i="9" s="1"/>
  <c r="F224" i="13"/>
  <c r="F264" i="13" s="1"/>
  <c r="E224" i="13"/>
  <c r="D224" i="13"/>
  <c r="G224" i="13" s="1"/>
  <c r="G264" i="13" s="1"/>
  <c r="G173" i="13"/>
  <c r="U41" i="4"/>
  <c r="E68" i="8"/>
  <c r="F68" i="8" s="1"/>
  <c r="G22" i="17"/>
  <c r="E22" i="17"/>
  <c r="H22" i="17"/>
  <c r="AM40" i="18"/>
  <c r="AQ40" i="18"/>
  <c r="AX40" i="18" s="1"/>
  <c r="AY40" i="18" s="1"/>
  <c r="AZ40" i="18" s="1"/>
  <c r="BA40" i="18" s="1"/>
  <c r="L51" i="10"/>
  <c r="C179" i="13"/>
  <c r="L38" i="9"/>
  <c r="J51" i="10"/>
  <c r="B40" i="12"/>
  <c r="E40" i="12" s="1"/>
  <c r="AT40" i="7"/>
  <c r="AL40" i="18"/>
  <c r="AY40" i="7"/>
  <c r="AP64" i="7" s="1"/>
  <c r="AQ64" i="7" s="1"/>
  <c r="AR64" i="7" s="1"/>
  <c r="F15" i="5"/>
  <c r="F82" i="5" s="1"/>
  <c r="L15" i="5"/>
  <c r="J15" i="5"/>
  <c r="AA35" i="4"/>
  <c r="J62" i="8"/>
  <c r="M62" i="8" s="1"/>
  <c r="AM10" i="18"/>
  <c r="AQ36" i="18"/>
  <c r="AX36" i="18" s="1"/>
  <c r="AY36" i="18" s="1"/>
  <c r="AZ36" i="18" s="1"/>
  <c r="BA36" i="18" s="1"/>
  <c r="AM36" i="18"/>
  <c r="L47" i="10"/>
  <c r="C175" i="13"/>
  <c r="L34" i="9"/>
  <c r="J47" i="10"/>
  <c r="AT36" i="7"/>
  <c r="B36" i="12"/>
  <c r="E36" i="12" s="1"/>
  <c r="AY36" i="7"/>
  <c r="AP60" i="7" s="1"/>
  <c r="AQ60" i="7" s="1"/>
  <c r="AR60" i="7" s="1"/>
  <c r="AL36" i="18"/>
  <c r="F19" i="5"/>
  <c r="F86" i="5" s="1"/>
  <c r="L19" i="5"/>
  <c r="J19" i="5"/>
  <c r="J66" i="8"/>
  <c r="M66" i="8" s="1"/>
  <c r="AA39" i="4"/>
  <c r="AL41" i="18"/>
  <c r="AY41" i="7"/>
  <c r="AP65" i="7" s="1"/>
  <c r="AQ65" i="7" s="1"/>
  <c r="AR65" i="7" s="1"/>
  <c r="L39" i="9"/>
  <c r="AT41" i="7"/>
  <c r="B41" i="12"/>
  <c r="E41" i="12" s="1"/>
  <c r="J52" i="10"/>
  <c r="L52" i="10"/>
  <c r="C180" i="13"/>
  <c r="AM41" i="18"/>
  <c r="AQ41" i="18"/>
  <c r="AX41" i="18" s="1"/>
  <c r="AY41" i="18" s="1"/>
  <c r="AZ41" i="18" s="1"/>
  <c r="BA41" i="18" s="1"/>
  <c r="F14" i="5"/>
  <c r="F81" i="5" s="1"/>
  <c r="J14" i="5"/>
  <c r="L14" i="5"/>
  <c r="H148" i="5"/>
  <c r="J148" i="5" s="1"/>
  <c r="C157" i="5"/>
  <c r="AA34" i="4"/>
  <c r="J61" i="8"/>
  <c r="M61" i="8" s="1"/>
  <c r="C96" i="5"/>
  <c r="AB32" i="4"/>
  <c r="AC32" i="4" s="1"/>
  <c r="AB33" i="4"/>
  <c r="AC33" i="4" s="1"/>
  <c r="AB35" i="4"/>
  <c r="AC35" i="4" s="1"/>
  <c r="AB31" i="4"/>
  <c r="AC31" i="4" s="1"/>
  <c r="AB34" i="4"/>
  <c r="AC34" i="4" s="1"/>
  <c r="N59" i="8"/>
  <c r="O59" i="8" s="1"/>
  <c r="N61" i="8"/>
  <c r="O61" i="8" s="1"/>
  <c r="N62" i="8"/>
  <c r="O62" i="8" s="1"/>
  <c r="N60" i="8"/>
  <c r="O60" i="8" s="1"/>
  <c r="N58" i="8"/>
  <c r="O58" i="8" s="1"/>
  <c r="T31" i="4"/>
  <c r="D12" i="17"/>
  <c r="M11" i="5"/>
  <c r="R11" i="5"/>
  <c r="W31" i="4" s="1"/>
  <c r="H58" i="8" s="1"/>
  <c r="X31" i="4"/>
  <c r="I58" i="8" s="1"/>
  <c r="V31" i="4"/>
  <c r="G58" i="8" s="1"/>
  <c r="AS68" i="7"/>
  <c r="AZ44" i="7"/>
  <c r="AS44" i="18"/>
  <c r="AX106" i="18" s="1"/>
  <c r="AY106" i="18" s="1"/>
  <c r="AZ106" i="18" s="1"/>
  <c r="BA106" i="18" s="1"/>
  <c r="M42" i="9"/>
  <c r="Y104" i="9" s="1"/>
  <c r="Y42" i="9"/>
  <c r="ED42" i="9"/>
  <c r="DR42" i="9"/>
  <c r="J42" i="9"/>
  <c r="DS42" i="9"/>
  <c r="DZ42" i="9" s="1"/>
  <c r="EE42" i="9" s="1"/>
  <c r="EJ42" i="9" s="1"/>
  <c r="EI42" i="9"/>
  <c r="DY42" i="9"/>
  <c r="D183" i="13"/>
  <c r="G183" i="13" s="1"/>
  <c r="B234" i="13"/>
  <c r="F183" i="13"/>
  <c r="BC44" i="18"/>
  <c r="BB44" i="18"/>
  <c r="D14" i="17"/>
  <c r="T33" i="4"/>
  <c r="R13" i="5"/>
  <c r="W33" i="4" s="1"/>
  <c r="H60" i="8" s="1"/>
  <c r="V33" i="4"/>
  <c r="G60" i="8" s="1"/>
  <c r="M13" i="5"/>
  <c r="X33" i="4"/>
  <c r="I60" i="8" s="1"/>
  <c r="M40" i="9"/>
  <c r="Y102" i="9" s="1"/>
  <c r="AS42" i="18"/>
  <c r="AX104" i="18" s="1"/>
  <c r="AY104" i="18" s="1"/>
  <c r="AZ104" i="18" s="1"/>
  <c r="BA104" i="18" s="1"/>
  <c r="M54" i="10"/>
  <c r="AS66" i="7"/>
  <c r="AZ42" i="7"/>
  <c r="DY40" i="9"/>
  <c r="DS40" i="9"/>
  <c r="DZ40" i="9" s="1"/>
  <c r="EE40" i="9" s="1"/>
  <c r="EJ40" i="9" s="1"/>
  <c r="DR40" i="9"/>
  <c r="ED40" i="9"/>
  <c r="Y40" i="9"/>
  <c r="EI40" i="9"/>
  <c r="J40" i="9"/>
  <c r="B232" i="13"/>
  <c r="D181" i="13"/>
  <c r="F181" i="13"/>
  <c r="I182" i="13"/>
  <c r="L182" i="13" s="1"/>
  <c r="BC42" i="18"/>
  <c r="BB42" i="18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Y38" i="7"/>
  <c r="AP62" i="7" s="1"/>
  <c r="AQ62" i="7" s="1"/>
  <c r="AR62" i="7" s="1"/>
  <c r="AL38" i="18"/>
  <c r="L17" i="5"/>
  <c r="F17" i="5"/>
  <c r="F84" i="5" s="1"/>
  <c r="J17" i="5"/>
  <c r="J64" i="8"/>
  <c r="M64" i="8" s="1"/>
  <c r="AA37" i="4"/>
  <c r="AM25" i="18"/>
  <c r="AM39" i="18"/>
  <c r="AQ39" i="18"/>
  <c r="AX39" i="18" s="1"/>
  <c r="AY39" i="18" s="1"/>
  <c r="AZ39" i="18" s="1"/>
  <c r="BA39" i="18" s="1"/>
  <c r="L50" i="10"/>
  <c r="C178" i="13"/>
  <c r="L37" i="9"/>
  <c r="J50" i="10"/>
  <c r="AT39" i="7"/>
  <c r="B39" i="12"/>
  <c r="E39" i="12" s="1"/>
  <c r="AY39" i="7"/>
  <c r="AP63" i="7" s="1"/>
  <c r="AQ63" i="7" s="1"/>
  <c r="AR63" i="7" s="1"/>
  <c r="AL39" i="18"/>
  <c r="L16" i="5"/>
  <c r="F16" i="5"/>
  <c r="F83" i="5" s="1"/>
  <c r="J16" i="5"/>
  <c r="AA36" i="4"/>
  <c r="J63" i="8"/>
  <c r="M63" i="8" s="1"/>
  <c r="AQ35" i="18"/>
  <c r="AX35" i="18" s="1"/>
  <c r="AM35" i="18"/>
  <c r="L46" i="10"/>
  <c r="C174" i="13"/>
  <c r="B35" i="12"/>
  <c r="E35" i="12" s="1"/>
  <c r="L33" i="9"/>
  <c r="J46" i="10"/>
  <c r="AT35" i="7"/>
  <c r="AY35" i="7"/>
  <c r="AP59" i="7" s="1"/>
  <c r="AQ59" i="7" s="1"/>
  <c r="AR59" i="7" s="1"/>
  <c r="AL35" i="18"/>
  <c r="E87" i="5"/>
  <c r="E96" i="5" s="1"/>
  <c r="F96" i="5" s="1"/>
  <c r="F20" i="5"/>
  <c r="F87" i="5" s="1"/>
  <c r="L20" i="5"/>
  <c r="J20" i="5"/>
  <c r="AA40" i="4"/>
  <c r="J67" i="8"/>
  <c r="M67" i="8" s="1"/>
  <c r="DC55" i="9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T32" i="4"/>
  <c r="D13" i="17"/>
  <c r="X32" i="4"/>
  <c r="I59" i="8" s="1"/>
  <c r="V32" i="4"/>
  <c r="G59" i="8" s="1"/>
  <c r="R12" i="5"/>
  <c r="W32" i="4" s="1"/>
  <c r="H59" i="8" s="1"/>
  <c r="M12" i="5"/>
  <c r="J146" i="5"/>
  <c r="H157" i="5"/>
  <c r="J157" i="5" s="1"/>
  <c r="BB43" i="18"/>
  <c r="BC43" i="18"/>
  <c r="EI41" i="9"/>
  <c r="Y41" i="9"/>
  <c r="DR41" i="9"/>
  <c r="ED41" i="9"/>
  <c r="DY41" i="9"/>
  <c r="DS41" i="9"/>
  <c r="DZ41" i="9" s="1"/>
  <c r="EE41" i="9" s="1"/>
  <c r="EJ41" i="9" s="1"/>
  <c r="J41" i="9"/>
  <c r="O42" i="9" s="1"/>
  <c r="M55" i="10"/>
  <c r="AS67" i="7"/>
  <c r="AZ43" i="7"/>
  <c r="D182" i="13"/>
  <c r="G182" i="13" s="1"/>
  <c r="F182" i="13"/>
  <c r="B233" i="13"/>
  <c r="AS43" i="18"/>
  <c r="AX105" i="18" s="1"/>
  <c r="AY105" i="18" s="1"/>
  <c r="AZ105" i="18" s="1"/>
  <c r="BA105" i="18" s="1"/>
  <c r="M41" i="9"/>
  <c r="Y103" i="9" s="1"/>
  <c r="AQ37" i="18"/>
  <c r="AX37" i="18" s="1"/>
  <c r="AY37" i="18" s="1"/>
  <c r="AZ37" i="18" s="1"/>
  <c r="BA37" i="18" s="1"/>
  <c r="AM37" i="18"/>
  <c r="L48" i="10"/>
  <c r="C176" i="13"/>
  <c r="L35" i="9"/>
  <c r="J48" i="10"/>
  <c r="B37" i="12"/>
  <c r="E37" i="12" s="1"/>
  <c r="AT37" i="7"/>
  <c r="AY37" i="7"/>
  <c r="AP61" i="7" s="1"/>
  <c r="AQ61" i="7" s="1"/>
  <c r="AR61" i="7" s="1"/>
  <c r="AL37" i="18"/>
  <c r="F18" i="5"/>
  <c r="F85" i="5" s="1"/>
  <c r="L18" i="5"/>
  <c r="J18" i="5"/>
  <c r="J65" i="8"/>
  <c r="M65" i="8" s="1"/>
  <c r="AA38" i="4"/>
  <c r="T38" i="4" l="1"/>
  <c r="D19" i="17"/>
  <c r="I85" i="5"/>
  <c r="L85" i="5" s="1"/>
  <c r="M85" i="5" s="1"/>
  <c r="R18" i="5"/>
  <c r="W38" i="4" s="1"/>
  <c r="H65" i="8" s="1"/>
  <c r="M18" i="5"/>
  <c r="V38" i="4"/>
  <c r="G65" i="8" s="1"/>
  <c r="X38" i="4"/>
  <c r="I65" i="8" s="1"/>
  <c r="AS61" i="7"/>
  <c r="AZ37" i="7"/>
  <c r="AS37" i="18"/>
  <c r="AX99" i="18" s="1"/>
  <c r="AY99" i="18" s="1"/>
  <c r="AZ99" i="18" s="1"/>
  <c r="BA99" i="18" s="1"/>
  <c r="M35" i="9"/>
  <c r="Y97" i="9" s="1"/>
  <c r="EI35" i="9"/>
  <c r="ED35" i="9"/>
  <c r="DS35" i="9"/>
  <c r="DZ35" i="9" s="1"/>
  <c r="EE35" i="9" s="1"/>
  <c r="EJ35" i="9" s="1"/>
  <c r="DY35" i="9"/>
  <c r="DR35" i="9"/>
  <c r="Y35" i="9"/>
  <c r="J35" i="9"/>
  <c r="I177" i="13"/>
  <c r="L177" i="13" s="1"/>
  <c r="F176" i="13"/>
  <c r="O179" i="13"/>
  <c r="R179" i="13" s="1"/>
  <c r="D176" i="13"/>
  <c r="B227" i="13"/>
  <c r="P51" i="10"/>
  <c r="M49" i="10"/>
  <c r="BB37" i="18"/>
  <c r="BC37" i="18"/>
  <c r="DR103" i="9"/>
  <c r="DS103" i="9"/>
  <c r="ED103" i="9"/>
  <c r="Y227" i="9"/>
  <c r="Z227" i="9" s="1"/>
  <c r="AA227" i="9" s="1"/>
  <c r="AB227" i="9" s="1"/>
  <c r="EI103" i="9"/>
  <c r="DY103" i="9"/>
  <c r="Z103" i="9"/>
  <c r="AA103" i="9" s="1"/>
  <c r="AB103" i="9" s="1"/>
  <c r="BB105" i="18"/>
  <c r="BC105" i="18"/>
  <c r="D233" i="13"/>
  <c r="G233" i="13" s="1"/>
  <c r="G273" i="13" s="1"/>
  <c r="F233" i="13"/>
  <c r="F273" i="13" s="1"/>
  <c r="E233" i="13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Y165" i="9"/>
  <c r="Z165" i="9" s="1"/>
  <c r="AA165" i="9" s="1"/>
  <c r="AB165" i="9" s="1"/>
  <c r="Z41" i="9"/>
  <c r="AA41" i="9" s="1"/>
  <c r="AB41" i="9" s="1"/>
  <c r="G13" i="17"/>
  <c r="E13" i="17"/>
  <c r="H13" i="17"/>
  <c r="E59" i="8"/>
  <c r="F59" i="8" s="1"/>
  <c r="U32" i="4"/>
  <c r="AP330" i="7"/>
  <c r="DC57" i="9"/>
  <c r="T40" i="4"/>
  <c r="D21" i="17"/>
  <c r="I87" i="5"/>
  <c r="L87" i="5" s="1"/>
  <c r="M87" i="5" s="1"/>
  <c r="M20" i="5"/>
  <c r="R20" i="5"/>
  <c r="W40" i="4" s="1"/>
  <c r="H67" i="8" s="1"/>
  <c r="V40" i="4"/>
  <c r="G67" i="8" s="1"/>
  <c r="X40" i="4"/>
  <c r="I67" i="8" s="1"/>
  <c r="AS59" i="7"/>
  <c r="AZ35" i="7"/>
  <c r="AS35" i="18"/>
  <c r="AX97" i="18" s="1"/>
  <c r="AY97" i="18" s="1"/>
  <c r="AZ97" i="18" s="1"/>
  <c r="BA97" i="18" s="1"/>
  <c r="M33" i="9"/>
  <c r="Y95" i="9" s="1"/>
  <c r="DS33" i="9"/>
  <c r="DZ33" i="9" s="1"/>
  <c r="EE33" i="9" s="1"/>
  <c r="EJ33" i="9" s="1"/>
  <c r="Y33" i="9"/>
  <c r="ED33" i="9"/>
  <c r="J33" i="9"/>
  <c r="EI33" i="9"/>
  <c r="DY33" i="9"/>
  <c r="DR33" i="9"/>
  <c r="F174" i="13"/>
  <c r="D174" i="13"/>
  <c r="B225" i="13"/>
  <c r="O177" i="13"/>
  <c r="R177" i="13" s="1"/>
  <c r="I175" i="13"/>
  <c r="L175" i="13" s="1"/>
  <c r="O176" i="13"/>
  <c r="R176" i="13" s="1"/>
  <c r="I174" i="13"/>
  <c r="L174" i="13" s="1"/>
  <c r="O172" i="13"/>
  <c r="R172" i="13" s="1"/>
  <c r="U168" i="13"/>
  <c r="X168" i="13" s="1"/>
  <c r="I173" i="13"/>
  <c r="L173" i="13" s="1"/>
  <c r="O175" i="13"/>
  <c r="R175" i="13" s="1"/>
  <c r="U171" i="13"/>
  <c r="X171" i="13" s="1"/>
  <c r="U169" i="13"/>
  <c r="X169" i="13" s="1"/>
  <c r="U170" i="13"/>
  <c r="X170" i="13" s="1"/>
  <c r="U177" i="13"/>
  <c r="X177" i="13" s="1"/>
  <c r="O173" i="13"/>
  <c r="R173" i="13" s="1"/>
  <c r="U176" i="13"/>
  <c r="X176" i="13" s="1"/>
  <c r="O174" i="13"/>
  <c r="R174" i="13" s="1"/>
  <c r="U173" i="13"/>
  <c r="X173" i="13" s="1"/>
  <c r="U174" i="13"/>
  <c r="X174" i="13" s="1"/>
  <c r="U175" i="13"/>
  <c r="X175" i="13" s="1"/>
  <c r="U172" i="13"/>
  <c r="X172" i="13" s="1"/>
  <c r="X188" i="13" s="1"/>
  <c r="X193" i="13" s="1"/>
  <c r="M47" i="10"/>
  <c r="P49" i="10"/>
  <c r="P48" i="10"/>
  <c r="M45" i="10"/>
  <c r="P44" i="10"/>
  <c r="P47" i="10"/>
  <c r="P46" i="10"/>
  <c r="P45" i="10"/>
  <c r="AY35" i="18"/>
  <c r="AZ35" i="18" s="1"/>
  <c r="BA35" i="18" s="1"/>
  <c r="AX45" i="18"/>
  <c r="N67" i="8"/>
  <c r="O67" i="8" s="1"/>
  <c r="N69" i="8"/>
  <c r="O69" i="8" s="1"/>
  <c r="N65" i="8"/>
  <c r="O65" i="8" s="1"/>
  <c r="N63" i="8"/>
  <c r="O63" i="8" s="1"/>
  <c r="N64" i="8"/>
  <c r="O64" i="8" s="1"/>
  <c r="N68" i="8"/>
  <c r="O68" i="8" s="1"/>
  <c r="N66" i="8"/>
  <c r="O66" i="8" s="1"/>
  <c r="AB41" i="4"/>
  <c r="AC41" i="4" s="1"/>
  <c r="AB39" i="4"/>
  <c r="AC39" i="4" s="1"/>
  <c r="AB40" i="4"/>
  <c r="AC40" i="4" s="1"/>
  <c r="AB38" i="4"/>
  <c r="AC38" i="4" s="1"/>
  <c r="AB37" i="4"/>
  <c r="AC37" i="4" s="1"/>
  <c r="AB36" i="4"/>
  <c r="AC36" i="4" s="1"/>
  <c r="AB42" i="4"/>
  <c r="AC42" i="4" s="1"/>
  <c r="T36" i="4"/>
  <c r="D17" i="17"/>
  <c r="I83" i="5"/>
  <c r="L83" i="5" s="1"/>
  <c r="M83" i="5" s="1"/>
  <c r="X36" i="4"/>
  <c r="I63" i="8" s="1"/>
  <c r="M16" i="5"/>
  <c r="R16" i="5"/>
  <c r="W36" i="4" s="1"/>
  <c r="H63" i="8" s="1"/>
  <c r="V36" i="4"/>
  <c r="G63" i="8" s="1"/>
  <c r="L47" i="5"/>
  <c r="AS63" i="7"/>
  <c r="AZ39" i="7"/>
  <c r="AS39" i="18"/>
  <c r="AX101" i="18" s="1"/>
  <c r="AY101" i="18" s="1"/>
  <c r="AZ101" i="18" s="1"/>
  <c r="BA101" i="18" s="1"/>
  <c r="M37" i="9"/>
  <c r="Y99" i="9" s="1"/>
  <c r="DR37" i="9"/>
  <c r="ED37" i="9"/>
  <c r="EI37" i="9"/>
  <c r="DY37" i="9"/>
  <c r="DS37" i="9"/>
  <c r="DZ37" i="9" s="1"/>
  <c r="EE37" i="9" s="1"/>
  <c r="EJ37" i="9" s="1"/>
  <c r="Y37" i="9"/>
  <c r="J37" i="9"/>
  <c r="O181" i="13"/>
  <c r="R181" i="13" s="1"/>
  <c r="F178" i="13"/>
  <c r="I179" i="13"/>
  <c r="L179" i="13" s="1"/>
  <c r="D178" i="13"/>
  <c r="B229" i="13"/>
  <c r="M51" i="10"/>
  <c r="P53" i="10"/>
  <c r="BB39" i="18"/>
  <c r="BC39" i="18"/>
  <c r="T37" i="4"/>
  <c r="D18" i="17"/>
  <c r="I84" i="5"/>
  <c r="L84" i="5" s="1"/>
  <c r="M84" i="5" s="1"/>
  <c r="R17" i="5"/>
  <c r="W37" i="4" s="1"/>
  <c r="H64" i="8" s="1"/>
  <c r="V37" i="4"/>
  <c r="G64" i="8" s="1"/>
  <c r="M17" i="5"/>
  <c r="X37" i="4"/>
  <c r="I64" i="8" s="1"/>
  <c r="AS62" i="7"/>
  <c r="AZ38" i="7"/>
  <c r="AS38" i="18"/>
  <c r="AX100" i="18" s="1"/>
  <c r="AY100" i="18" s="1"/>
  <c r="AZ100" i="18" s="1"/>
  <c r="BA100" i="18" s="1"/>
  <c r="M36" i="9"/>
  <c r="Y98" i="9" s="1"/>
  <c r="DS36" i="9"/>
  <c r="DZ36" i="9" s="1"/>
  <c r="EE36" i="9" s="1"/>
  <c r="EJ36" i="9" s="1"/>
  <c r="ED36" i="9"/>
  <c r="EI36" i="9"/>
  <c r="DY36" i="9"/>
  <c r="DR36" i="9"/>
  <c r="Y36" i="9"/>
  <c r="J36" i="9"/>
  <c r="O180" i="13"/>
  <c r="R180" i="13" s="1"/>
  <c r="F177" i="13"/>
  <c r="D177" i="13"/>
  <c r="I178" i="13"/>
  <c r="L178" i="13" s="1"/>
  <c r="B228" i="13"/>
  <c r="M50" i="10"/>
  <c r="P52" i="10"/>
  <c r="BC38" i="18"/>
  <c r="BB38" i="18"/>
  <c r="G181" i="13"/>
  <c r="J182" i="13"/>
  <c r="M182" i="13" s="1"/>
  <c r="D232" i="13"/>
  <c r="G232" i="13" s="1"/>
  <c r="G272" i="13" s="1"/>
  <c r="E232" i="13"/>
  <c r="F232" i="13"/>
  <c r="F272" i="13" s="1"/>
  <c r="O41" i="9"/>
  <c r="Y164" i="9"/>
  <c r="Z164" i="9" s="1"/>
  <c r="AA164" i="9" s="1"/>
  <c r="AB164" i="9" s="1"/>
  <c r="Z40" i="9"/>
  <c r="AA40" i="9" s="1"/>
  <c r="AB40" i="9" s="1"/>
  <c r="N54" i="10"/>
  <c r="AR43" i="18" s="1"/>
  <c r="O54" i="10"/>
  <c r="AT43" i="18" s="1"/>
  <c r="BH105" i="18" s="1"/>
  <c r="BB104" i="18"/>
  <c r="BC104" i="18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U33" i="4"/>
  <c r="E60" i="8"/>
  <c r="F60" i="8" s="1"/>
  <c r="E14" i="17"/>
  <c r="G14" i="17"/>
  <c r="H14" i="17"/>
  <c r="F234" i="13"/>
  <c r="F274" i="13" s="1"/>
  <c r="E234" i="13"/>
  <c r="D234" i="13"/>
  <c r="G234" i="13" s="1"/>
  <c r="G274" i="13" s="1"/>
  <c r="Z42" i="9"/>
  <c r="AA42" i="9" s="1"/>
  <c r="AB42" i="9" s="1"/>
  <c r="Y166" i="9"/>
  <c r="Z166" i="9" s="1"/>
  <c r="AA166" i="9" s="1"/>
  <c r="AB16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6" i="18"/>
  <c r="BC106" i="18"/>
  <c r="G12" i="17"/>
  <c r="E12" i="17"/>
  <c r="H12" i="17" s="1"/>
  <c r="U31" i="4"/>
  <c r="E58" i="8"/>
  <c r="F58" i="8" s="1"/>
  <c r="I81" i="5"/>
  <c r="R14" i="5"/>
  <c r="W34" i="4" s="1"/>
  <c r="H61" i="8" s="1"/>
  <c r="M14" i="5"/>
  <c r="V34" i="4"/>
  <c r="G61" i="8" s="1"/>
  <c r="X34" i="4"/>
  <c r="I61" i="8" s="1"/>
  <c r="D15" i="17"/>
  <c r="T34" i="4"/>
  <c r="BC41" i="18"/>
  <c r="BB41" i="18"/>
  <c r="D180" i="13"/>
  <c r="F180" i="13"/>
  <c r="B231" i="13"/>
  <c r="I181" i="13"/>
  <c r="L181" i="13" s="1"/>
  <c r="M53" i="10"/>
  <c r="N53" i="10" s="1"/>
  <c r="AR42" i="18" s="1"/>
  <c r="P55" i="10"/>
  <c r="M39" i="9"/>
  <c r="Y101" i="9" s="1"/>
  <c r="AS41" i="18"/>
  <c r="AX103" i="18" s="1"/>
  <c r="AY103" i="18" s="1"/>
  <c r="AZ103" i="18" s="1"/>
  <c r="BA103" i="18" s="1"/>
  <c r="O53" i="10"/>
  <c r="AT42" i="18" s="1"/>
  <c r="BH104" i="18" s="1"/>
  <c r="AS65" i="7"/>
  <c r="AZ41" i="7"/>
  <c r="DY39" i="9"/>
  <c r="EI39" i="9"/>
  <c r="Y39" i="9"/>
  <c r="DR39" i="9"/>
  <c r="J39" i="9"/>
  <c r="ED39" i="9"/>
  <c r="DS39" i="9"/>
  <c r="DZ39" i="9" s="1"/>
  <c r="EE39" i="9" s="1"/>
  <c r="EJ39" i="9" s="1"/>
  <c r="T39" i="4"/>
  <c r="D20" i="17"/>
  <c r="I86" i="5"/>
  <c r="L86" i="5" s="1"/>
  <c r="M86" i="5" s="1"/>
  <c r="R19" i="5"/>
  <c r="W39" i="4" s="1"/>
  <c r="H66" i="8" s="1"/>
  <c r="V39" i="4"/>
  <c r="G66" i="8" s="1"/>
  <c r="X39" i="4"/>
  <c r="I66" i="8" s="1"/>
  <c r="M19" i="5"/>
  <c r="AS60" i="7"/>
  <c r="AZ36" i="7"/>
  <c r="AS36" i="18"/>
  <c r="AX98" i="18" s="1"/>
  <c r="AY98" i="18" s="1"/>
  <c r="AZ98" i="18" s="1"/>
  <c r="BA98" i="18" s="1"/>
  <c r="M34" i="9"/>
  <c r="Y96" i="9" s="1"/>
  <c r="DR34" i="9"/>
  <c r="EI34" i="9"/>
  <c r="DS34" i="9"/>
  <c r="DZ34" i="9" s="1"/>
  <c r="EE34" i="9" s="1"/>
  <c r="EJ34" i="9" s="1"/>
  <c r="DY34" i="9"/>
  <c r="ED34" i="9"/>
  <c r="Y34" i="9"/>
  <c r="J34" i="9"/>
  <c r="I176" i="13"/>
  <c r="L176" i="13" s="1"/>
  <c r="D175" i="13"/>
  <c r="F175" i="13"/>
  <c r="O178" i="13"/>
  <c r="R178" i="13" s="1"/>
  <c r="B226" i="13"/>
  <c r="M46" i="10"/>
  <c r="M48" i="10"/>
  <c r="P50" i="10"/>
  <c r="BC36" i="18"/>
  <c r="BB36" i="18"/>
  <c r="AJ2" i="18"/>
  <c r="AJ3" i="18" s="1"/>
  <c r="T35" i="4"/>
  <c r="D16" i="17"/>
  <c r="I82" i="5"/>
  <c r="L82" i="5" s="1"/>
  <c r="X35" i="4"/>
  <c r="I62" i="8" s="1"/>
  <c r="M15" i="5"/>
  <c r="R15" i="5"/>
  <c r="W35" i="4" s="1"/>
  <c r="H62" i="8" s="1"/>
  <c r="V35" i="4"/>
  <c r="G62" i="8" s="1"/>
  <c r="AS64" i="7"/>
  <c r="AZ40" i="7"/>
  <c r="AS40" i="18"/>
  <c r="AX102" i="18" s="1"/>
  <c r="AY102" i="18" s="1"/>
  <c r="AZ102" i="18" s="1"/>
  <c r="BA102" i="18" s="1"/>
  <c r="M38" i="9"/>
  <c r="Y100" i="9" s="1"/>
  <c r="DY38" i="9"/>
  <c r="DS38" i="9"/>
  <c r="DZ38" i="9" s="1"/>
  <c r="EE38" i="9" s="1"/>
  <c r="EJ38" i="9" s="1"/>
  <c r="DR38" i="9"/>
  <c r="EI38" i="9"/>
  <c r="ED38" i="9"/>
  <c r="Y38" i="9"/>
  <c r="J38" i="9"/>
  <c r="D179" i="13"/>
  <c r="F179" i="13"/>
  <c r="I180" i="13"/>
  <c r="L180" i="13" s="1"/>
  <c r="B230" i="13"/>
  <c r="P54" i="10"/>
  <c r="M52" i="10"/>
  <c r="BB40" i="18"/>
  <c r="BC40" i="18"/>
  <c r="AD156" i="9"/>
  <c r="AC156" i="9"/>
  <c r="AC32" i="9"/>
  <c r="AD32" i="9"/>
  <c r="AI34" i="18" s="1"/>
  <c r="AC218" i="9"/>
  <c r="AD218" i="9"/>
  <c r="AC94" i="9"/>
  <c r="AD94" i="9"/>
  <c r="AZ33" i="18"/>
  <c r="AY45" i="18"/>
  <c r="F186" i="13"/>
  <c r="F191" i="13" s="1"/>
  <c r="F187" i="13"/>
  <c r="F192" i="13" s="1"/>
  <c r="F185" i="13"/>
  <c r="F190" i="13" s="1"/>
  <c r="R186" i="13"/>
  <c r="R191" i="13" s="1"/>
  <c r="R185" i="13"/>
  <c r="R190" i="13" s="1"/>
  <c r="R187" i="13"/>
  <c r="R192" i="13" s="1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V168" i="13"/>
  <c r="Y168" i="13" s="1"/>
  <c r="J173" i="13"/>
  <c r="M173" i="13" s="1"/>
  <c r="P172" i="13"/>
  <c r="S172" i="13" s="1"/>
  <c r="V170" i="13"/>
  <c r="Y170" i="13" s="1"/>
  <c r="V174" i="13"/>
  <c r="Y174" i="13" s="1"/>
  <c r="V171" i="13"/>
  <c r="Y171" i="13" s="1"/>
  <c r="P175" i="13"/>
  <c r="S175" i="13" s="1"/>
  <c r="P174" i="13"/>
  <c r="S174" i="13" s="1"/>
  <c r="V169" i="13"/>
  <c r="Y169" i="13" s="1"/>
  <c r="V177" i="13"/>
  <c r="Y177" i="13" s="1"/>
  <c r="V175" i="13"/>
  <c r="Y175" i="13" s="1"/>
  <c r="V172" i="13"/>
  <c r="Y172" i="13" s="1"/>
  <c r="V176" i="13"/>
  <c r="Y176" i="13" s="1"/>
  <c r="V173" i="13"/>
  <c r="Y173" i="13" s="1"/>
  <c r="L185" i="13"/>
  <c r="L190" i="13" s="1"/>
  <c r="L187" i="13"/>
  <c r="L192" i="13" s="1"/>
  <c r="L186" i="13"/>
  <c r="L191" i="13" s="1"/>
  <c r="D223" i="13"/>
  <c r="G223" i="13" s="1"/>
  <c r="G263" i="13" s="1"/>
  <c r="E223" i="13"/>
  <c r="F223" i="13"/>
  <c r="F263" i="13" s="1"/>
  <c r="X185" i="13"/>
  <c r="X187" i="13"/>
  <c r="X192" i="13" s="1"/>
  <c r="AV2" i="7"/>
  <c r="AV3" i="7" s="1"/>
  <c r="EI44" i="9"/>
  <c r="EJ47" i="9" s="1"/>
  <c r="EJ48" i="9"/>
  <c r="EJ54" i="9" s="1"/>
  <c r="G39" i="13" s="1"/>
  <c r="DR44" i="9"/>
  <c r="DS47" i="9" s="1"/>
  <c r="DS48" i="9"/>
  <c r="DS54" i="9" s="1"/>
  <c r="G36" i="13" s="1"/>
  <c r="ED44" i="9"/>
  <c r="EE48" i="9" s="1"/>
  <c r="EE47" i="9"/>
  <c r="EE54" i="9" s="1"/>
  <c r="G38" i="13" s="1"/>
  <c r="AI152" i="9"/>
  <c r="CB152" i="9"/>
  <c r="Y155" i="9"/>
  <c r="Z31" i="9"/>
  <c r="Y43" i="9"/>
  <c r="S29" i="9"/>
  <c r="O30" i="9"/>
  <c r="O31" i="9"/>
  <c r="S30" i="9"/>
  <c r="S31" i="9"/>
  <c r="O32" i="9"/>
  <c r="S33" i="9"/>
  <c r="S34" i="9"/>
  <c r="DY44" i="9"/>
  <c r="DZ47" i="9" s="1"/>
  <c r="DZ48" i="9"/>
  <c r="DZ54" i="9" s="1"/>
  <c r="G37" i="13" s="1"/>
  <c r="Q42" i="10"/>
  <c r="R42" i="10"/>
  <c r="N43" i="10"/>
  <c r="AR32" i="18" s="1"/>
  <c r="O43" i="10"/>
  <c r="AT32" i="18" s="1"/>
  <c r="BH94" i="18" s="1"/>
  <c r="N44" i="10"/>
  <c r="AR33" i="18" s="1"/>
  <c r="O44" i="10"/>
  <c r="AT33" i="18" s="1"/>
  <c r="BH95" i="18" s="1"/>
  <c r="Q43" i="10"/>
  <c r="R43" i="10"/>
  <c r="AY95" i="18"/>
  <c r="AX107" i="18"/>
  <c r="Y93" i="9"/>
  <c r="U28" i="9"/>
  <c r="U42" i="4"/>
  <c r="E69" i="8"/>
  <c r="F69" i="8" s="1"/>
  <c r="G23" i="17"/>
  <c r="E23" i="17"/>
  <c r="H23" i="17"/>
  <c r="CB214" i="9" l="1"/>
  <c r="AI214" i="9"/>
  <c r="ED93" i="9"/>
  <c r="Z93" i="9"/>
  <c r="DY93" i="9"/>
  <c r="EI93" i="9"/>
  <c r="DR93" i="9"/>
  <c r="DS93" i="9"/>
  <c r="DZ93" i="9" s="1"/>
  <c r="EE93" i="9" s="1"/>
  <c r="EJ93" i="9" s="1"/>
  <c r="Y217" i="9"/>
  <c r="Y105" i="9"/>
  <c r="AZ95" i="18"/>
  <c r="AY107" i="18"/>
  <c r="BR95" i="18"/>
  <c r="BI95" i="18"/>
  <c r="BJ95" i="18" s="1"/>
  <c r="BK95" i="18" s="1"/>
  <c r="BR94" i="18"/>
  <c r="BI94" i="18"/>
  <c r="T34" i="9"/>
  <c r="U34" i="9"/>
  <c r="U33" i="9"/>
  <c r="T33" i="9"/>
  <c r="Q32" i="9"/>
  <c r="P32" i="9"/>
  <c r="U31" i="9"/>
  <c r="T31" i="9"/>
  <c r="T30" i="9"/>
  <c r="U30" i="9"/>
  <c r="P31" i="9"/>
  <c r="Q31" i="9"/>
  <c r="P30" i="9"/>
  <c r="Q30" i="9"/>
  <c r="U29" i="9"/>
  <c r="T29" i="9"/>
  <c r="AA31" i="9"/>
  <c r="Z155" i="9"/>
  <c r="CC152" i="9"/>
  <c r="AS152" i="9"/>
  <c r="AJ152" i="9"/>
  <c r="BC152" i="9"/>
  <c r="X190" i="13"/>
  <c r="X186" i="13"/>
  <c r="X191" i="13" s="1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Y188" i="13"/>
  <c r="Y193" i="13" s="1"/>
  <c r="Y187" i="13"/>
  <c r="Y192" i="13" s="1"/>
  <c r="Y185" i="13"/>
  <c r="AX49" i="18"/>
  <c r="BA33" i="18"/>
  <c r="AZ45" i="18"/>
  <c r="N52" i="10"/>
  <c r="AR41" i="18" s="1"/>
  <c r="O52" i="10"/>
  <c r="AT41" i="18" s="1"/>
  <c r="BH103" i="18" s="1"/>
  <c r="D230" i="13"/>
  <c r="G230" i="13" s="1"/>
  <c r="G270" i="13" s="1"/>
  <c r="F230" i="13"/>
  <c r="F270" i="13" s="1"/>
  <c r="E230" i="13"/>
  <c r="J180" i="13"/>
  <c r="M180" i="13" s="1"/>
  <c r="G179" i="13"/>
  <c r="S41" i="9"/>
  <c r="O39" i="9"/>
  <c r="Z38" i="9"/>
  <c r="AA38" i="9" s="1"/>
  <c r="AB38" i="9" s="1"/>
  <c r="Y162" i="9"/>
  <c r="Z162" i="9" s="1"/>
  <c r="AA162" i="9" s="1"/>
  <c r="AB162" i="9" s="1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DZ100" i="9" s="1"/>
  <c r="EE100" i="9" s="1"/>
  <c r="EJ100" i="9" s="1"/>
  <c r="BB102" i="18"/>
  <c r="BC102" i="18"/>
  <c r="M82" i="5"/>
  <c r="L96" i="5"/>
  <c r="E16" i="17"/>
  <c r="G16" i="17"/>
  <c r="H16" i="17"/>
  <c r="E62" i="8"/>
  <c r="F62" i="8" s="1"/>
  <c r="U35" i="4"/>
  <c r="Q50" i="10"/>
  <c r="R50" i="10"/>
  <c r="N48" i="10"/>
  <c r="AR37" i="18" s="1"/>
  <c r="O48" i="10"/>
  <c r="AT37" i="18" s="1"/>
  <c r="BH99" i="18" s="1"/>
  <c r="N46" i="10"/>
  <c r="AR35" i="18" s="1"/>
  <c r="O46" i="10"/>
  <c r="AT35" i="18" s="1"/>
  <c r="BH97" i="18" s="1"/>
  <c r="F226" i="13"/>
  <c r="F266" i="13" s="1"/>
  <c r="D226" i="13"/>
  <c r="G226" i="13" s="1"/>
  <c r="G266" i="13" s="1"/>
  <c r="E226" i="13"/>
  <c r="P173" i="13"/>
  <c r="S173" i="13" s="1"/>
  <c r="G175" i="13"/>
  <c r="P178" i="13"/>
  <c r="S178" i="13" s="1"/>
  <c r="J176" i="13"/>
  <c r="M176" i="13" s="1"/>
  <c r="S32" i="9"/>
  <c r="O35" i="9"/>
  <c r="S37" i="9"/>
  <c r="Y158" i="9"/>
  <c r="Z158" i="9" s="1"/>
  <c r="AA158" i="9" s="1"/>
  <c r="AB158" i="9" s="1"/>
  <c r="Z34" i="9"/>
  <c r="AA34" i="9" s="1"/>
  <c r="AB34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Z96" i="9" s="1"/>
  <c r="EE96" i="9" s="1"/>
  <c r="EJ96" i="9" s="1"/>
  <c r="BC98" i="18"/>
  <c r="BB98" i="18"/>
  <c r="E20" i="17"/>
  <c r="G20" i="17"/>
  <c r="H20" i="17"/>
  <c r="U39" i="4"/>
  <c r="E66" i="8"/>
  <c r="F66" i="8" s="1"/>
  <c r="O40" i="9"/>
  <c r="S42" i="9"/>
  <c r="Z39" i="9"/>
  <c r="AA39" i="9" s="1"/>
  <c r="AB39" i="9" s="1"/>
  <c r="Y163" i="9"/>
  <c r="Z163" i="9" s="1"/>
  <c r="AA163" i="9" s="1"/>
  <c r="AB163" i="9" s="1"/>
  <c r="BR104" i="18"/>
  <c r="BI104" i="18"/>
  <c r="BJ104" i="18" s="1"/>
  <c r="BK104" i="18" s="1"/>
  <c r="BB103" i="18"/>
  <c r="BC103" i="18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E231" i="13"/>
  <c r="F231" i="13"/>
  <c r="F271" i="13" s="1"/>
  <c r="D231" i="13"/>
  <c r="G231" i="13" s="1"/>
  <c r="G271" i="13" s="1"/>
  <c r="J181" i="13"/>
  <c r="M181" i="13" s="1"/>
  <c r="G180" i="13"/>
  <c r="U34" i="4"/>
  <c r="E61" i="8"/>
  <c r="F61" i="8" s="1"/>
  <c r="E15" i="17"/>
  <c r="G15" i="17"/>
  <c r="H15" i="17"/>
  <c r="I96" i="5"/>
  <c r="I98" i="5" s="1"/>
  <c r="J102" i="5" s="1"/>
  <c r="R12" i="17"/>
  <c r="I12" i="17"/>
  <c r="AD228" i="9"/>
  <c r="AC228" i="9"/>
  <c r="AD104" i="9"/>
  <c r="AC104" i="9"/>
  <c r="AC166" i="9"/>
  <c r="AD166" i="9"/>
  <c r="AC42" i="9"/>
  <c r="AD42" i="9"/>
  <c r="AI44" i="18" s="1"/>
  <c r="AD226" i="9"/>
  <c r="AC226" i="9"/>
  <c r="AC102" i="9"/>
  <c r="AD102" i="9"/>
  <c r="BR105" i="18"/>
  <c r="BI105" i="18"/>
  <c r="BJ105" i="18" s="1"/>
  <c r="BK105" i="18" s="1"/>
  <c r="AD40" i="9"/>
  <c r="AI42" i="18" s="1"/>
  <c r="AC40" i="9"/>
  <c r="AC164" i="9"/>
  <c r="AD164" i="9"/>
  <c r="P41" i="9"/>
  <c r="CB41" i="9" s="1"/>
  <c r="CC41" i="9" s="1"/>
  <c r="CD41" i="9" s="1"/>
  <c r="CE41" i="9" s="1"/>
  <c r="Q41" i="9"/>
  <c r="CB103" i="9" s="1"/>
  <c r="CC103" i="9" s="1"/>
  <c r="CD103" i="9" s="1"/>
  <c r="CE103" i="9" s="1"/>
  <c r="J234" i="13"/>
  <c r="M234" i="13" s="1"/>
  <c r="I234" i="13"/>
  <c r="L234" i="13" s="1"/>
  <c r="Q52" i="10"/>
  <c r="R52" i="10"/>
  <c r="N50" i="10"/>
  <c r="AR39" i="18" s="1"/>
  <c r="O50" i="10"/>
  <c r="AT39" i="18" s="1"/>
  <c r="BH101" i="18" s="1"/>
  <c r="F228" i="13"/>
  <c r="F268" i="13" s="1"/>
  <c r="D228" i="13"/>
  <c r="G228" i="13" s="1"/>
  <c r="G268" i="13" s="1"/>
  <c r="E228" i="13"/>
  <c r="P180" i="13"/>
  <c r="S180" i="13" s="1"/>
  <c r="G177" i="13"/>
  <c r="J178" i="13"/>
  <c r="M178" i="13" s="1"/>
  <c r="O37" i="9"/>
  <c r="S39" i="9"/>
  <c r="Y160" i="9"/>
  <c r="Z160" i="9" s="1"/>
  <c r="AA160" i="9" s="1"/>
  <c r="AB160" i="9" s="1"/>
  <c r="Z36" i="9"/>
  <c r="AA36" i="9" s="1"/>
  <c r="AB36" i="9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DZ98" i="9" s="1"/>
  <c r="EE98" i="9" s="1"/>
  <c r="EJ98" i="9" s="1"/>
  <c r="BB100" i="18"/>
  <c r="BC100" i="18"/>
  <c r="E18" i="17"/>
  <c r="G18" i="17"/>
  <c r="H18" i="17"/>
  <c r="E64" i="8"/>
  <c r="F64" i="8" s="1"/>
  <c r="U37" i="4"/>
  <c r="Q53" i="10"/>
  <c r="R53" i="10"/>
  <c r="N51" i="10"/>
  <c r="AR40" i="18" s="1"/>
  <c r="O51" i="10"/>
  <c r="AT40" i="18" s="1"/>
  <c r="BH102" i="18" s="1"/>
  <c r="D229" i="13"/>
  <c r="G229" i="13" s="1"/>
  <c r="G269" i="13" s="1"/>
  <c r="F229" i="13"/>
  <c r="F269" i="13" s="1"/>
  <c r="E229" i="13"/>
  <c r="P181" i="13"/>
  <c r="S181" i="13" s="1"/>
  <c r="J179" i="13"/>
  <c r="M179" i="13" s="1"/>
  <c r="G178" i="13"/>
  <c r="G188" i="13" s="1"/>
  <c r="G193" i="13" s="1"/>
  <c r="F188" i="13"/>
  <c r="F193" i="13" s="1"/>
  <c r="O38" i="9"/>
  <c r="S40" i="9"/>
  <c r="Z37" i="9"/>
  <c r="AA37" i="9" s="1"/>
  <c r="AB37" i="9" s="1"/>
  <c r="Y161" i="9"/>
  <c r="Z161" i="9" s="1"/>
  <c r="AA161" i="9" s="1"/>
  <c r="AB161" i="9" s="1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DZ99" i="9" s="1"/>
  <c r="EE99" i="9" s="1"/>
  <c r="EJ99" i="9" s="1"/>
  <c r="BC101" i="18"/>
  <c r="BB101" i="18"/>
  <c r="N25" i="5"/>
  <c r="M47" i="5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E17" i="17"/>
  <c r="G17" i="17"/>
  <c r="H17" i="17"/>
  <c r="U36" i="4"/>
  <c r="E63" i="8"/>
  <c r="F63" i="8" s="1"/>
  <c r="BB35" i="18"/>
  <c r="BC35" i="18"/>
  <c r="Q45" i="10"/>
  <c r="R45" i="10"/>
  <c r="Q46" i="10"/>
  <c r="R46" i="10"/>
  <c r="Q47" i="10"/>
  <c r="R47" i="10"/>
  <c r="Q44" i="10"/>
  <c r="R44" i="10"/>
  <c r="N45" i="10"/>
  <c r="AR34" i="18" s="1"/>
  <c r="O45" i="10"/>
  <c r="AT34" i="18" s="1"/>
  <c r="BH96" i="18" s="1"/>
  <c r="Q48" i="10"/>
  <c r="R48" i="10"/>
  <c r="Q49" i="10"/>
  <c r="R49" i="10"/>
  <c r="N47" i="10"/>
  <c r="AR36" i="18" s="1"/>
  <c r="O47" i="10"/>
  <c r="AT36" i="18" s="1"/>
  <c r="BH98" i="18" s="1"/>
  <c r="R188" i="13"/>
  <c r="R193" i="13" s="1"/>
  <c r="D225" i="13"/>
  <c r="G225" i="13" s="1"/>
  <c r="G265" i="13" s="1"/>
  <c r="F225" i="13"/>
  <c r="F265" i="13" s="1"/>
  <c r="E225" i="13"/>
  <c r="G174" i="13"/>
  <c r="J175" i="13"/>
  <c r="M175" i="13" s="1"/>
  <c r="P177" i="13"/>
  <c r="S177" i="13" s="1"/>
  <c r="J174" i="13"/>
  <c r="M174" i="13" s="1"/>
  <c r="P176" i="13"/>
  <c r="S176" i="13" s="1"/>
  <c r="O34" i="9"/>
  <c r="S36" i="9"/>
  <c r="O33" i="9"/>
  <c r="S35" i="9"/>
  <c r="Z33" i="9"/>
  <c r="Y157" i="9"/>
  <c r="Y219" i="9"/>
  <c r="Z219" i="9" s="1"/>
  <c r="AA219" i="9" s="1"/>
  <c r="AB219" i="9" s="1"/>
  <c r="DS95" i="9"/>
  <c r="DZ95" i="9" s="1"/>
  <c r="EE95" i="9" s="1"/>
  <c r="EJ95" i="9" s="1"/>
  <c r="DR95" i="9"/>
  <c r="ED95" i="9"/>
  <c r="EI95" i="9"/>
  <c r="DY95" i="9"/>
  <c r="Z95" i="9"/>
  <c r="AA95" i="9" s="1"/>
  <c r="AB95" i="9" s="1"/>
  <c r="BB97" i="18"/>
  <c r="BC97" i="18"/>
  <c r="E21" i="17"/>
  <c r="G21" i="17"/>
  <c r="H21" i="17"/>
  <c r="U40" i="4"/>
  <c r="E67" i="8"/>
  <c r="F67" i="8" s="1"/>
  <c r="AG359" i="7"/>
  <c r="M359" i="7"/>
  <c r="AP331" i="7"/>
  <c r="M347" i="7" s="1"/>
  <c r="R13" i="17"/>
  <c r="R14" i="17" s="1"/>
  <c r="R15" i="17" s="1"/>
  <c r="I13" i="17"/>
  <c r="AD41" i="9"/>
  <c r="AI43" i="18" s="1"/>
  <c r="AC41" i="9"/>
  <c r="AD165" i="9"/>
  <c r="AC165" i="9"/>
  <c r="CF104" i="9"/>
  <c r="CG104" i="9"/>
  <c r="CG42" i="9"/>
  <c r="CF42" i="9"/>
  <c r="AD103" i="9"/>
  <c r="AC103" i="9"/>
  <c r="AC227" i="9"/>
  <c r="AD227" i="9"/>
  <c r="DZ103" i="9"/>
  <c r="EE103" i="9" s="1"/>
  <c r="EJ103" i="9" s="1"/>
  <c r="N49" i="10"/>
  <c r="AR38" i="18" s="1"/>
  <c r="O49" i="10"/>
  <c r="AT38" i="18" s="1"/>
  <c r="BH100" i="18" s="1"/>
  <c r="Q51" i="10"/>
  <c r="R51" i="10"/>
  <c r="D227" i="13"/>
  <c r="G227" i="13" s="1"/>
  <c r="G267" i="13" s="1"/>
  <c r="F227" i="13"/>
  <c r="F267" i="13" s="1"/>
  <c r="E227" i="13"/>
  <c r="G176" i="13"/>
  <c r="P179" i="13"/>
  <c r="S179" i="13" s="1"/>
  <c r="J177" i="13"/>
  <c r="M177" i="13" s="1"/>
  <c r="M188" i="13" s="1"/>
  <c r="M193" i="13" s="1"/>
  <c r="L188" i="13"/>
  <c r="L193" i="13" s="1"/>
  <c r="O36" i="9"/>
  <c r="S38" i="9"/>
  <c r="Z35" i="9"/>
  <c r="AA35" i="9" s="1"/>
  <c r="AB35" i="9" s="1"/>
  <c r="Y159" i="9"/>
  <c r="Z159" i="9" s="1"/>
  <c r="AA159" i="9" s="1"/>
  <c r="AB159" i="9" s="1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DZ97" i="9" s="1"/>
  <c r="EE97" i="9" s="1"/>
  <c r="EJ97" i="9" s="1"/>
  <c r="BB99" i="18"/>
  <c r="BC99" i="18"/>
  <c r="E19" i="17"/>
  <c r="G19" i="17"/>
  <c r="H19" i="17"/>
  <c r="E65" i="8"/>
  <c r="F65" i="8" s="1"/>
  <c r="U38" i="4"/>
  <c r="AC97" i="9" l="1"/>
  <c r="AD97" i="9"/>
  <c r="AC221" i="9"/>
  <c r="AD221" i="9"/>
  <c r="AD159" i="9"/>
  <c r="AC159" i="9"/>
  <c r="AC35" i="9"/>
  <c r="AD35" i="9"/>
  <c r="AI37" i="18" s="1"/>
  <c r="U38" i="9"/>
  <c r="T38" i="9"/>
  <c r="P36" i="9"/>
  <c r="Q36" i="9"/>
  <c r="O232" i="13"/>
  <c r="R232" i="13" s="1"/>
  <c r="J229" i="13"/>
  <c r="M229" i="13" s="1"/>
  <c r="I229" i="13"/>
  <c r="L229" i="13" s="1"/>
  <c r="P232" i="13"/>
  <c r="S232" i="13" s="1"/>
  <c r="BI100" i="18"/>
  <c r="BJ100" i="18" s="1"/>
  <c r="BK100" i="18" s="1"/>
  <c r="BR100" i="18"/>
  <c r="W13" i="17"/>
  <c r="AC13" i="17" s="1"/>
  <c r="N13" i="17"/>
  <c r="AC95" i="9"/>
  <c r="AD95" i="9"/>
  <c r="AC219" i="9"/>
  <c r="AD219" i="9"/>
  <c r="Z157" i="9"/>
  <c r="AA157" i="9" s="1"/>
  <c r="AB157" i="9" s="1"/>
  <c r="Y167" i="9"/>
  <c r="AA33" i="9"/>
  <c r="AB33" i="9" s="1"/>
  <c r="Z43" i="9"/>
  <c r="T35" i="9"/>
  <c r="U35" i="9"/>
  <c r="P33" i="9"/>
  <c r="Q33" i="9"/>
  <c r="T36" i="9"/>
  <c r="U36" i="9"/>
  <c r="Q34" i="9"/>
  <c r="P34" i="9"/>
  <c r="S188" i="13"/>
  <c r="S193" i="13" s="1"/>
  <c r="M186" i="13"/>
  <c r="M191" i="13" s="1"/>
  <c r="M185" i="13"/>
  <c r="M190" i="13" s="1"/>
  <c r="M187" i="13"/>
  <c r="M192" i="13" s="1"/>
  <c r="G187" i="13"/>
  <c r="G192" i="13" s="1"/>
  <c r="G186" i="13"/>
  <c r="G191" i="13" s="1"/>
  <c r="G185" i="13"/>
  <c r="G190" i="13" s="1"/>
  <c r="I227" i="13"/>
  <c r="L227" i="13" s="1"/>
  <c r="O230" i="13"/>
  <c r="R230" i="13" s="1"/>
  <c r="J227" i="13"/>
  <c r="M227" i="13" s="1"/>
  <c r="P230" i="13"/>
  <c r="S230" i="13" s="1"/>
  <c r="I226" i="13"/>
  <c r="L226" i="13" s="1"/>
  <c r="O229" i="13"/>
  <c r="R229" i="13" s="1"/>
  <c r="P229" i="13"/>
  <c r="S229" i="13" s="1"/>
  <c r="J226" i="13"/>
  <c r="M226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U230" i="13"/>
  <c r="X230" i="13" s="1"/>
  <c r="O227" i="13"/>
  <c r="R227" i="13" s="1"/>
  <c r="V234" i="13"/>
  <c r="Y234" i="13" s="1"/>
  <c r="V232" i="13"/>
  <c r="Y232" i="13" s="1"/>
  <c r="U229" i="13"/>
  <c r="X229" i="13" s="1"/>
  <c r="O228" i="13"/>
  <c r="R228" i="13" s="1"/>
  <c r="O226" i="13"/>
  <c r="R226" i="13" s="1"/>
  <c r="V226" i="13"/>
  <c r="Y226" i="13" s="1"/>
  <c r="U231" i="13"/>
  <c r="X231" i="13" s="1"/>
  <c r="U234" i="13"/>
  <c r="X234" i="13" s="1"/>
  <c r="U233" i="13"/>
  <c r="X233" i="13" s="1"/>
  <c r="V233" i="13"/>
  <c r="Y233" i="13" s="1"/>
  <c r="V231" i="13"/>
  <c r="Y231" i="13" s="1"/>
  <c r="U228" i="13"/>
  <c r="X228" i="13" s="1"/>
  <c r="P227" i="13"/>
  <c r="S227" i="13" s="1"/>
  <c r="U227" i="13"/>
  <c r="X227" i="13" s="1"/>
  <c r="V227" i="13"/>
  <c r="Y227" i="13" s="1"/>
  <c r="P228" i="13"/>
  <c r="S228" i="13" s="1"/>
  <c r="V230" i="13"/>
  <c r="Y230" i="13" s="1"/>
  <c r="V228" i="13"/>
  <c r="Y228" i="13" s="1"/>
  <c r="V229" i="13"/>
  <c r="Y229" i="13" s="1"/>
  <c r="U232" i="13"/>
  <c r="X232" i="13" s="1"/>
  <c r="U226" i="13"/>
  <c r="X226" i="13" s="1"/>
  <c r="P226" i="13"/>
  <c r="S226" i="13" s="1"/>
  <c r="BI98" i="18"/>
  <c r="BJ98" i="18" s="1"/>
  <c r="BK98" i="18" s="1"/>
  <c r="BR98" i="18"/>
  <c r="BI96" i="18"/>
  <c r="BJ96" i="18" s="1"/>
  <c r="BK96" i="18" s="1"/>
  <c r="BR96" i="18"/>
  <c r="BH107" i="18"/>
  <c r="C117" i="5"/>
  <c r="AE28" i="5"/>
  <c r="R83" i="5"/>
  <c r="AD5" i="5"/>
  <c r="AD4" i="5"/>
  <c r="C63" i="5" s="1"/>
  <c r="C65" i="5" s="1"/>
  <c r="AF29" i="5"/>
  <c r="B117" i="5" s="1"/>
  <c r="L65" i="5"/>
  <c r="L64" i="5"/>
  <c r="L66" i="5" s="1"/>
  <c r="H159" i="5"/>
  <c r="H161" i="5" s="1"/>
  <c r="G65" i="5"/>
  <c r="AC223" i="9"/>
  <c r="AD223" i="9"/>
  <c r="AC99" i="9"/>
  <c r="AD99" i="9"/>
  <c r="AC161" i="9"/>
  <c r="AD161" i="9"/>
  <c r="AD37" i="9"/>
  <c r="AI39" i="18" s="1"/>
  <c r="AC37" i="9"/>
  <c r="U40" i="9"/>
  <c r="T40" i="9"/>
  <c r="P38" i="9"/>
  <c r="Q38" i="9"/>
  <c r="J231" i="13"/>
  <c r="M231" i="13" s="1"/>
  <c r="I231" i="13"/>
  <c r="L231" i="13" s="1"/>
  <c r="P234" i="13"/>
  <c r="S234" i="13" s="1"/>
  <c r="O234" i="13"/>
  <c r="R234" i="13" s="1"/>
  <c r="BI102" i="18"/>
  <c r="BJ102" i="18" s="1"/>
  <c r="BK102" i="18" s="1"/>
  <c r="BR102" i="18"/>
  <c r="AC98" i="9"/>
  <c r="AD98" i="9"/>
  <c r="AC222" i="9"/>
  <c r="AD222" i="9"/>
  <c r="AD36" i="9"/>
  <c r="AI38" i="18" s="1"/>
  <c r="AC36" i="9"/>
  <c r="AC160" i="9"/>
  <c r="AD160" i="9"/>
  <c r="U39" i="9"/>
  <c r="T39" i="9"/>
  <c r="P37" i="9"/>
  <c r="Q37" i="9"/>
  <c r="I230" i="13"/>
  <c r="L230" i="13" s="1"/>
  <c r="J230" i="13"/>
  <c r="M230" i="13" s="1"/>
  <c r="P233" i="13"/>
  <c r="S233" i="13" s="1"/>
  <c r="O233" i="13"/>
  <c r="R233" i="13" s="1"/>
  <c r="BI101" i="18"/>
  <c r="BJ101" i="18" s="1"/>
  <c r="BK101" i="18" s="1"/>
  <c r="BR101" i="18"/>
  <c r="F90" i="13"/>
  <c r="F120" i="13" s="1"/>
  <c r="E7" i="13" s="1"/>
  <c r="L274" i="13"/>
  <c r="E83" i="13" s="1"/>
  <c r="L90" i="13"/>
  <c r="W120" i="13" s="1"/>
  <c r="W7" i="13" s="1"/>
  <c r="M274" i="13"/>
  <c r="L83" i="13" s="1"/>
  <c r="CG103" i="9"/>
  <c r="CF103" i="9"/>
  <c r="CG41" i="9"/>
  <c r="CF41" i="9"/>
  <c r="BL105" i="18"/>
  <c r="BM105" i="18"/>
  <c r="CB105" i="18"/>
  <c r="CC105" i="18" s="1"/>
  <c r="CD105" i="18" s="1"/>
  <c r="CE105" i="18" s="1"/>
  <c r="BS105" i="18"/>
  <c r="BT105" i="18" s="1"/>
  <c r="BU105" i="18" s="1"/>
  <c r="V12" i="17"/>
  <c r="S12" i="17"/>
  <c r="T12" i="17"/>
  <c r="U12" i="17"/>
  <c r="W12" i="17"/>
  <c r="N12" i="17"/>
  <c r="M12" i="17"/>
  <c r="L12" i="17"/>
  <c r="J12" i="17"/>
  <c r="K12" i="17"/>
  <c r="L103" i="5"/>
  <c r="L102" i="5"/>
  <c r="L104" i="5"/>
  <c r="I233" i="13"/>
  <c r="L233" i="13" s="1"/>
  <c r="J233" i="13"/>
  <c r="M233" i="13" s="1"/>
  <c r="AD225" i="9"/>
  <c r="AC225" i="9"/>
  <c r="AD101" i="9"/>
  <c r="AC101" i="9"/>
  <c r="BL104" i="18"/>
  <c r="BM104" i="18"/>
  <c r="BS104" i="18"/>
  <c r="BT104" i="18" s="1"/>
  <c r="BU104" i="18" s="1"/>
  <c r="CB104" i="18"/>
  <c r="CC104" i="18" s="1"/>
  <c r="CD104" i="18" s="1"/>
  <c r="CE104" i="18" s="1"/>
  <c r="AC163" i="9"/>
  <c r="AD163" i="9"/>
  <c r="AD39" i="9"/>
  <c r="AI41" i="18" s="1"/>
  <c r="AC39" i="9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Q40" i="9"/>
  <c r="P40" i="9"/>
  <c r="AD220" i="9"/>
  <c r="AC220" i="9"/>
  <c r="AD96" i="9"/>
  <c r="AC96" i="9"/>
  <c r="AC34" i="9"/>
  <c r="AD34" i="9"/>
  <c r="AI36" i="18" s="1"/>
  <c r="AC158" i="9"/>
  <c r="AD158" i="9"/>
  <c r="T37" i="9"/>
  <c r="U37" i="9"/>
  <c r="P35" i="9"/>
  <c r="Q35" i="9"/>
  <c r="T32" i="9"/>
  <c r="U32" i="9"/>
  <c r="S185" i="13"/>
  <c r="S190" i="13" s="1"/>
  <c r="S186" i="13"/>
  <c r="S191" i="13" s="1"/>
  <c r="S187" i="13"/>
  <c r="S192" i="13" s="1"/>
  <c r="P231" i="13"/>
  <c r="S231" i="13" s="1"/>
  <c r="O231" i="13"/>
  <c r="R231" i="13" s="1"/>
  <c r="I228" i="13"/>
  <c r="L228" i="13" s="1"/>
  <c r="J228" i="13"/>
  <c r="M228" i="13" s="1"/>
  <c r="BI97" i="18"/>
  <c r="BJ97" i="18" s="1"/>
  <c r="BK97" i="18" s="1"/>
  <c r="BR97" i="18"/>
  <c r="BI99" i="18"/>
  <c r="BJ99" i="18" s="1"/>
  <c r="BK99" i="18" s="1"/>
  <c r="BR99" i="18"/>
  <c r="R16" i="17"/>
  <c r="M96" i="5"/>
  <c r="R85" i="5"/>
  <c r="R87" i="5" s="1"/>
  <c r="L98" i="5"/>
  <c r="M98" i="5" s="1"/>
  <c r="AD224" i="9"/>
  <c r="AC224" i="9"/>
  <c r="AC100" i="9"/>
  <c r="AD100" i="9"/>
  <c r="AD162" i="9"/>
  <c r="AC162" i="9"/>
  <c r="AC38" i="9"/>
  <c r="AD38" i="9"/>
  <c r="AI40" i="18" s="1"/>
  <c r="P39" i="9"/>
  <c r="Q39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I232" i="13"/>
  <c r="L232" i="13" s="1"/>
  <c r="J232" i="13"/>
  <c r="M232" i="13" s="1"/>
  <c r="BI103" i="18"/>
  <c r="BJ103" i="18" s="1"/>
  <c r="BK103" i="18" s="1"/>
  <c r="BR103" i="18"/>
  <c r="AX48" i="18"/>
  <c r="AY46" i="18"/>
  <c r="BB33" i="18"/>
  <c r="BB45" i="18" s="1"/>
  <c r="BB46" i="18" s="1"/>
  <c r="AX54" i="18" s="1"/>
  <c r="BC33" i="18"/>
  <c r="BC45" i="18" s="1"/>
  <c r="BC46" i="18" s="1"/>
  <c r="AX51" i="18" s="1"/>
  <c r="BA45" i="18"/>
  <c r="BA46" i="18" s="1"/>
  <c r="AX52" i="18" s="1"/>
  <c r="AX55" i="18" s="1"/>
  <c r="AX53" i="18"/>
  <c r="Y190" i="13"/>
  <c r="Y186" i="13"/>
  <c r="Y191" i="13" s="1"/>
  <c r="S264" i="13"/>
  <c r="M73" i="13" s="1"/>
  <c r="M100" i="13"/>
  <c r="X130" i="13" s="1"/>
  <c r="X17" i="13" s="1"/>
  <c r="S263" i="13"/>
  <c r="M72" i="13" s="1"/>
  <c r="M101" i="13"/>
  <c r="X131" i="13" s="1"/>
  <c r="X18" i="13" s="1"/>
  <c r="L100" i="13"/>
  <c r="W130" i="13" s="1"/>
  <c r="W17" i="13" s="1"/>
  <c r="M264" i="13"/>
  <c r="L73" i="13" s="1"/>
  <c r="M263" i="13"/>
  <c r="L72" i="13" s="1"/>
  <c r="L101" i="13"/>
  <c r="W131" i="13" s="1"/>
  <c r="W18" i="13" s="1"/>
  <c r="L263" i="13"/>
  <c r="E72" i="13" s="1"/>
  <c r="F101" i="13"/>
  <c r="F131" i="13" s="1"/>
  <c r="E18" i="13" s="1"/>
  <c r="R263" i="13"/>
  <c r="F72" i="13" s="1"/>
  <c r="G101" i="13"/>
  <c r="G131" i="13" s="1"/>
  <c r="F18" i="13" s="1"/>
  <c r="N101" i="13"/>
  <c r="Y131" i="13" s="1"/>
  <c r="Y18" i="13" s="1"/>
  <c r="Y263" i="13"/>
  <c r="N72" i="13" s="1"/>
  <c r="H101" i="13"/>
  <c r="H131" i="13" s="1"/>
  <c r="G18" i="13" s="1"/>
  <c r="X263" i="13"/>
  <c r="G72" i="13" s="1"/>
  <c r="X264" i="13"/>
  <c r="G73" i="13" s="1"/>
  <c r="H100" i="13"/>
  <c r="H130" i="13" s="1"/>
  <c r="G17" i="13" s="1"/>
  <c r="F100" i="13"/>
  <c r="F130" i="13" s="1"/>
  <c r="E17" i="13" s="1"/>
  <c r="L264" i="13"/>
  <c r="E73" i="13" s="1"/>
  <c r="R264" i="13"/>
  <c r="F73" i="13" s="1"/>
  <c r="G100" i="13"/>
  <c r="G130" i="13" s="1"/>
  <c r="F17" i="13" s="1"/>
  <c r="N100" i="13"/>
  <c r="Y130" i="13" s="1"/>
  <c r="Y17" i="13" s="1"/>
  <c r="Y264" i="13"/>
  <c r="N73" i="13" s="1"/>
  <c r="BD152" i="9"/>
  <c r="AK152" i="9"/>
  <c r="AT152" i="9"/>
  <c r="CD152" i="9"/>
  <c r="AA155" i="9"/>
  <c r="Z167" i="9"/>
  <c r="AB31" i="9"/>
  <c r="AA43" i="9"/>
  <c r="Y46" i="9" s="1"/>
  <c r="CB153" i="9"/>
  <c r="AI153" i="9"/>
  <c r="AI215" i="9"/>
  <c r="CB215" i="9"/>
  <c r="CC215" i="9" s="1"/>
  <c r="CD215" i="9" s="1"/>
  <c r="CE215" i="9" s="1"/>
  <c r="CB92" i="9"/>
  <c r="AI92" i="9"/>
  <c r="BM30" i="9"/>
  <c r="BC30" i="9"/>
  <c r="CB30" i="9"/>
  <c r="AI30" i="9"/>
  <c r="AS30" i="9"/>
  <c r="AI93" i="9"/>
  <c r="CB93" i="9"/>
  <c r="CC93" i="9" s="1"/>
  <c r="CD93" i="9" s="1"/>
  <c r="CE93" i="9" s="1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CB216" i="9"/>
  <c r="CC216" i="9" s="1"/>
  <c r="CD216" i="9" s="1"/>
  <c r="CE216" i="9" s="1"/>
  <c r="AI216" i="9"/>
  <c r="CB154" i="9"/>
  <c r="CC154" i="9" s="1"/>
  <c r="CD154" i="9" s="1"/>
  <c r="CE154" i="9" s="1"/>
  <c r="AI154" i="9"/>
  <c r="CB155" i="9"/>
  <c r="CC155" i="9" s="1"/>
  <c r="CD155" i="9" s="1"/>
  <c r="CE155" i="9" s="1"/>
  <c r="AI155" i="9"/>
  <c r="CB217" i="9"/>
  <c r="CC217" i="9" s="1"/>
  <c r="CD217" i="9" s="1"/>
  <c r="CE217" i="9" s="1"/>
  <c r="AI217" i="9"/>
  <c r="CB32" i="9"/>
  <c r="CC32" i="9" s="1"/>
  <c r="CD32" i="9" s="1"/>
  <c r="CE32" i="9" s="1"/>
  <c r="BM32" i="9"/>
  <c r="BN32" i="9" s="1"/>
  <c r="BO32" i="9" s="1"/>
  <c r="BP32" i="9" s="1"/>
  <c r="AI32" i="9"/>
  <c r="AJ32" i="9" s="1"/>
  <c r="AK32" i="9" s="1"/>
  <c r="AL32" i="9" s="1"/>
  <c r="AS32" i="9"/>
  <c r="AT32" i="9" s="1"/>
  <c r="AU32" i="9" s="1"/>
  <c r="AV32" i="9" s="1"/>
  <c r="BC32" i="9"/>
  <c r="BD32" i="9" s="1"/>
  <c r="BE32" i="9" s="1"/>
  <c r="BF32" i="9" s="1"/>
  <c r="CB94" i="9"/>
  <c r="CC94" i="9" s="1"/>
  <c r="CD94" i="9" s="1"/>
  <c r="CE94" i="9" s="1"/>
  <c r="AI94" i="9"/>
  <c r="CB157" i="9"/>
  <c r="CC157" i="9" s="1"/>
  <c r="CD157" i="9" s="1"/>
  <c r="CE157" i="9" s="1"/>
  <c r="AI157" i="9"/>
  <c r="CB219" i="9"/>
  <c r="CC219" i="9" s="1"/>
  <c r="CD219" i="9" s="1"/>
  <c r="CE219" i="9" s="1"/>
  <c r="AI219" i="9"/>
  <c r="CB220" i="9"/>
  <c r="CC220" i="9" s="1"/>
  <c r="CD220" i="9" s="1"/>
  <c r="CE220" i="9" s="1"/>
  <c r="AI220" i="9"/>
  <c r="CB158" i="9"/>
  <c r="CC158" i="9" s="1"/>
  <c r="CD158" i="9" s="1"/>
  <c r="CE158" i="9" s="1"/>
  <c r="AI158" i="9"/>
  <c r="BJ94" i="18"/>
  <c r="BI107" i="18"/>
  <c r="BS94" i="18"/>
  <c r="CB94" i="18"/>
  <c r="BR107" i="18"/>
  <c r="BM95" i="18"/>
  <c r="BL95" i="18"/>
  <c r="BS95" i="18"/>
  <c r="BT95" i="18" s="1"/>
  <c r="BU95" i="18" s="1"/>
  <c r="CB95" i="18"/>
  <c r="CC95" i="18" s="1"/>
  <c r="CD95" i="18" s="1"/>
  <c r="CE95" i="18" s="1"/>
  <c r="AX111" i="18"/>
  <c r="BA95" i="18"/>
  <c r="AZ107" i="18"/>
  <c r="Z217" i="9"/>
  <c r="Y229" i="9"/>
  <c r="DR106" i="9"/>
  <c r="DS109" i="9" s="1"/>
  <c r="DS110" i="9"/>
  <c r="DS116" i="9" s="1"/>
  <c r="Y36" i="13" s="1"/>
  <c r="EI106" i="9"/>
  <c r="EJ109" i="9"/>
  <c r="EJ110" i="9"/>
  <c r="EJ116" i="9" s="1"/>
  <c r="DY106" i="9"/>
  <c r="DZ110" i="9"/>
  <c r="DZ109" i="9"/>
  <c r="AA93" i="9"/>
  <c r="Z105" i="9"/>
  <c r="ED106" i="9"/>
  <c r="EE110" i="9"/>
  <c r="EE109" i="9"/>
  <c r="BC214" i="9"/>
  <c r="AJ214" i="9"/>
  <c r="AS214" i="9"/>
  <c r="CC214" i="9"/>
  <c r="CD214" i="9" l="1"/>
  <c r="AT214" i="9"/>
  <c r="AK214" i="9"/>
  <c r="BD214" i="9"/>
  <c r="EE116" i="9"/>
  <c r="Y38" i="13" s="1"/>
  <c r="Y109" i="9"/>
  <c r="AB93" i="9"/>
  <c r="AA105" i="9"/>
  <c r="DZ116" i="9"/>
  <c r="Y37" i="13" s="1"/>
  <c r="AA217" i="9"/>
  <c r="Z229" i="9"/>
  <c r="AX110" i="18"/>
  <c r="AU110" i="18" s="1"/>
  <c r="AY108" i="18"/>
  <c r="BB95" i="18"/>
  <c r="BB107" i="18" s="1"/>
  <c r="BB108" i="18" s="1"/>
  <c r="AX116" i="18" s="1"/>
  <c r="AU116" i="18" s="1"/>
  <c r="BC95" i="18"/>
  <c r="BC107" i="18" s="1"/>
  <c r="BC108" i="18" s="1"/>
  <c r="AX113" i="18" s="1"/>
  <c r="BA107" i="18"/>
  <c r="BA108" i="18" s="1"/>
  <c r="AX114" i="18" s="1"/>
  <c r="AU111" i="18"/>
  <c r="AX115" i="18"/>
  <c r="CF95" i="18"/>
  <c r="CG95" i="18"/>
  <c r="BV95" i="18"/>
  <c r="BW95" i="18"/>
  <c r="CC94" i="18"/>
  <c r="BT94" i="18"/>
  <c r="BH111" i="18"/>
  <c r="BK94" i="18"/>
  <c r="BJ107" i="18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G158" i="9"/>
  <c r="CF158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CF220" i="9"/>
  <c r="CG220" i="9"/>
  <c r="AS219" i="9"/>
  <c r="AT219" i="9" s="1"/>
  <c r="AU219" i="9" s="1"/>
  <c r="AV219" i="9" s="1"/>
  <c r="BC219" i="9"/>
  <c r="BD219" i="9" s="1"/>
  <c r="BE219" i="9" s="1"/>
  <c r="BF219" i="9" s="1"/>
  <c r="AJ219" i="9"/>
  <c r="AK219" i="9" s="1"/>
  <c r="AL219" i="9" s="1"/>
  <c r="BM219" i="9"/>
  <c r="BN219" i="9" s="1"/>
  <c r="BO219" i="9" s="1"/>
  <c r="BP219" i="9" s="1"/>
  <c r="CG219" i="9"/>
  <c r="CF219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CF157" i="9"/>
  <c r="CG157" i="9"/>
  <c r="BM94" i="9"/>
  <c r="BN94" i="9" s="1"/>
  <c r="BO94" i="9" s="1"/>
  <c r="BP94" i="9" s="1"/>
  <c r="AS94" i="9"/>
  <c r="AT94" i="9" s="1"/>
  <c r="AU94" i="9" s="1"/>
  <c r="AV94" i="9" s="1"/>
  <c r="AJ94" i="9"/>
  <c r="AK94" i="9" s="1"/>
  <c r="AL94" i="9" s="1"/>
  <c r="BC94" i="9"/>
  <c r="BD94" i="9" s="1"/>
  <c r="BE94" i="9" s="1"/>
  <c r="BF94" i="9" s="1"/>
  <c r="CF94" i="9"/>
  <c r="CG94" i="9"/>
  <c r="BG32" i="9"/>
  <c r="BH32" i="9"/>
  <c r="AW32" i="9"/>
  <c r="AX32" i="9"/>
  <c r="AM32" i="9"/>
  <c r="AN32" i="9"/>
  <c r="BQ32" i="9"/>
  <c r="BR32" i="9"/>
  <c r="CF32" i="9"/>
  <c r="CG32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CG217" i="9"/>
  <c r="CF217" i="9"/>
  <c r="BM155" i="9"/>
  <c r="BN155" i="9" s="1"/>
  <c r="BO155" i="9" s="1"/>
  <c r="BP155" i="9" s="1"/>
  <c r="BC155" i="9"/>
  <c r="BD155" i="9" s="1"/>
  <c r="BE155" i="9" s="1"/>
  <c r="BF155" i="9" s="1"/>
  <c r="AJ155" i="9"/>
  <c r="AK155" i="9" s="1"/>
  <c r="AL155" i="9" s="1"/>
  <c r="AS155" i="9"/>
  <c r="AT155" i="9" s="1"/>
  <c r="AU155" i="9" s="1"/>
  <c r="AV155" i="9" s="1"/>
  <c r="CF155" i="9"/>
  <c r="CG155" i="9"/>
  <c r="AJ154" i="9"/>
  <c r="AK154" i="9" s="1"/>
  <c r="AL154" i="9" s="1"/>
  <c r="BC154" i="9"/>
  <c r="BD154" i="9" s="1"/>
  <c r="BE154" i="9" s="1"/>
  <c r="BF154" i="9" s="1"/>
  <c r="BM154" i="9"/>
  <c r="BN154" i="9" s="1"/>
  <c r="BO154" i="9" s="1"/>
  <c r="BP154" i="9" s="1"/>
  <c r="AS154" i="9"/>
  <c r="AT154" i="9" s="1"/>
  <c r="AU154" i="9" s="1"/>
  <c r="AV154" i="9" s="1"/>
  <c r="CF154" i="9"/>
  <c r="CG154" i="9"/>
  <c r="AJ216" i="9"/>
  <c r="AK216" i="9" s="1"/>
  <c r="AL216" i="9" s="1"/>
  <c r="AS216" i="9"/>
  <c r="AT216" i="9" s="1"/>
  <c r="AU216" i="9" s="1"/>
  <c r="AV216" i="9" s="1"/>
  <c r="BC216" i="9"/>
  <c r="BD216" i="9" s="1"/>
  <c r="BE216" i="9" s="1"/>
  <c r="BF216" i="9" s="1"/>
  <c r="BM216" i="9"/>
  <c r="BN216" i="9" s="1"/>
  <c r="BO216" i="9" s="1"/>
  <c r="BP216" i="9" s="1"/>
  <c r="CF216" i="9"/>
  <c r="CG216" i="9"/>
  <c r="AM31" i="9"/>
  <c r="AN31" i="9"/>
  <c r="CG31" i="9"/>
  <c r="CF31" i="9"/>
  <c r="BG31" i="9"/>
  <c r="BH31" i="9"/>
  <c r="BQ31" i="9"/>
  <c r="BR31" i="9"/>
  <c r="AW31" i="9"/>
  <c r="AX31" i="9"/>
  <c r="CF93" i="9"/>
  <c r="CG93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AT30" i="9"/>
  <c r="AJ30" i="9"/>
  <c r="CC30" i="9"/>
  <c r="BD30" i="9"/>
  <c r="BN30" i="9"/>
  <c r="BM92" i="9"/>
  <c r="BC92" i="9"/>
  <c r="AJ92" i="9"/>
  <c r="AS92" i="9"/>
  <c r="CC92" i="9"/>
  <c r="CF215" i="9"/>
  <c r="CG215" i="9"/>
  <c r="AJ215" i="9"/>
  <c r="BC215" i="9"/>
  <c r="BM215" i="9"/>
  <c r="AS215" i="9"/>
  <c r="AJ153" i="9"/>
  <c r="BC153" i="9"/>
  <c r="BM153" i="9"/>
  <c r="AS153" i="9"/>
  <c r="CC153" i="9"/>
  <c r="D18" i="9"/>
  <c r="A18" i="9"/>
  <c r="A11" i="9"/>
  <c r="AD31" i="9"/>
  <c r="AC31" i="9"/>
  <c r="AB43" i="9"/>
  <c r="AB44" i="9" s="1"/>
  <c r="Y50" i="9" s="1"/>
  <c r="Y53" i="9" s="1"/>
  <c r="Y171" i="9"/>
  <c r="AB155" i="9"/>
  <c r="AA167" i="9"/>
  <c r="CE152" i="9"/>
  <c r="AU152" i="9"/>
  <c r="AL152" i="9"/>
  <c r="BE152" i="9"/>
  <c r="AX56" i="18"/>
  <c r="CB103" i="18"/>
  <c r="CC103" i="18" s="1"/>
  <c r="CD103" i="18" s="1"/>
  <c r="CE103" i="18" s="1"/>
  <c r="BS103" i="18"/>
  <c r="BT103" i="18" s="1"/>
  <c r="BU103" i="18" s="1"/>
  <c r="BL103" i="18"/>
  <c r="BM103" i="18"/>
  <c r="M272" i="13"/>
  <c r="L81" i="13" s="1"/>
  <c r="L92" i="13"/>
  <c r="W122" i="13" s="1"/>
  <c r="W9" i="13" s="1"/>
  <c r="L272" i="13"/>
  <c r="E81" i="13" s="1"/>
  <c r="F92" i="13"/>
  <c r="F122" i="13" s="1"/>
  <c r="E9" i="13" s="1"/>
  <c r="CG227" i="9"/>
  <c r="CF227" i="9"/>
  <c r="CG165" i="9"/>
  <c r="CF165" i="9"/>
  <c r="CB101" i="9"/>
  <c r="CC101" i="9" s="1"/>
  <c r="CD101" i="9" s="1"/>
  <c r="CE101" i="9" s="1"/>
  <c r="AI101" i="9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R17" i="17"/>
  <c r="R18" i="17" s="1"/>
  <c r="R19" i="17"/>
  <c r="R20" i="17" s="1"/>
  <c r="R21" i="17" s="1"/>
  <c r="R22" i="17"/>
  <c r="BS99" i="18"/>
  <c r="BT99" i="18" s="1"/>
  <c r="BU99" i="18" s="1"/>
  <c r="CB99" i="18"/>
  <c r="CC99" i="18" s="1"/>
  <c r="CD99" i="18" s="1"/>
  <c r="CE99" i="18" s="1"/>
  <c r="BM99" i="18"/>
  <c r="BL99" i="18"/>
  <c r="CB97" i="18"/>
  <c r="CC97" i="18" s="1"/>
  <c r="CD97" i="18" s="1"/>
  <c r="CE97" i="18" s="1"/>
  <c r="BS97" i="18"/>
  <c r="BT97" i="18" s="1"/>
  <c r="BU97" i="18" s="1"/>
  <c r="BL97" i="18"/>
  <c r="BM97" i="18"/>
  <c r="L96" i="13"/>
  <c r="W126" i="13" s="1"/>
  <c r="W13" i="13" s="1"/>
  <c r="M268" i="13"/>
  <c r="L77" i="13" s="1"/>
  <c r="L268" i="13"/>
  <c r="E77" i="13" s="1"/>
  <c r="F96" i="13"/>
  <c r="F126" i="13" s="1"/>
  <c r="E13" i="13" s="1"/>
  <c r="G93" i="13"/>
  <c r="G123" i="13" s="1"/>
  <c r="F10" i="13" s="1"/>
  <c r="R271" i="13"/>
  <c r="F80" i="13" s="1"/>
  <c r="M93" i="13"/>
  <c r="X123" i="13" s="1"/>
  <c r="X10" i="13" s="1"/>
  <c r="S271" i="13"/>
  <c r="M80" i="13" s="1"/>
  <c r="CB218" i="9"/>
  <c r="AI218" i="9"/>
  <c r="CB156" i="9"/>
  <c r="AI156" i="9"/>
  <c r="CB97" i="9"/>
  <c r="CC97" i="9" s="1"/>
  <c r="CD97" i="9" s="1"/>
  <c r="CE97" i="9" s="1"/>
  <c r="AI97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CB223" i="9"/>
  <c r="CC223" i="9" s="1"/>
  <c r="CD223" i="9" s="1"/>
  <c r="CE223" i="9" s="1"/>
  <c r="AI223" i="9"/>
  <c r="CB161" i="9"/>
  <c r="CC161" i="9" s="1"/>
  <c r="CD161" i="9" s="1"/>
  <c r="CE161" i="9" s="1"/>
  <c r="AI161" i="9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AI102" i="9"/>
  <c r="CB102" i="9"/>
  <c r="CC102" i="9" s="1"/>
  <c r="CD102" i="9" s="1"/>
  <c r="CE102" i="9" s="1"/>
  <c r="CG228" i="9"/>
  <c r="CF228" i="9"/>
  <c r="CG166" i="9"/>
  <c r="CF166" i="9"/>
  <c r="CG104" i="18"/>
  <c r="CF104" i="18"/>
  <c r="BV104" i="18"/>
  <c r="BW104" i="18"/>
  <c r="M273" i="13"/>
  <c r="L82" i="13" s="1"/>
  <c r="L91" i="13"/>
  <c r="W121" i="13" s="1"/>
  <c r="W8" i="13" s="1"/>
  <c r="F91" i="13"/>
  <c r="F121" i="13" s="1"/>
  <c r="E8" i="13" s="1"/>
  <c r="L273" i="13"/>
  <c r="E82" i="13" s="1"/>
  <c r="L105" i="5"/>
  <c r="AA12" i="17"/>
  <c r="V13" i="17"/>
  <c r="Z12" i="17"/>
  <c r="U13" i="17"/>
  <c r="Y12" i="17"/>
  <c r="S13" i="17"/>
  <c r="T13" i="17"/>
  <c r="AB12" i="17"/>
  <c r="BW105" i="18"/>
  <c r="BV105" i="18"/>
  <c r="CG105" i="18"/>
  <c r="CF105" i="18"/>
  <c r="BS101" i="18"/>
  <c r="BT101" i="18" s="1"/>
  <c r="BU101" i="18" s="1"/>
  <c r="CB101" i="18"/>
  <c r="CC101" i="18" s="1"/>
  <c r="CD101" i="18" s="1"/>
  <c r="CE101" i="18" s="1"/>
  <c r="BM101" i="18"/>
  <c r="BL101" i="18"/>
  <c r="G91" i="13"/>
  <c r="G121" i="13" s="1"/>
  <c r="F8" i="13" s="1"/>
  <c r="R273" i="13"/>
  <c r="F82" i="13" s="1"/>
  <c r="S273" i="13"/>
  <c r="M82" i="13" s="1"/>
  <c r="M91" i="13"/>
  <c r="X121" i="13" s="1"/>
  <c r="X8" i="13" s="1"/>
  <c r="L94" i="13"/>
  <c r="W124" i="13" s="1"/>
  <c r="W11" i="13" s="1"/>
  <c r="M270" i="13"/>
  <c r="L79" i="13" s="1"/>
  <c r="L270" i="13"/>
  <c r="E79" i="13" s="1"/>
  <c r="F94" i="13"/>
  <c r="F124" i="13" s="1"/>
  <c r="E11" i="13" s="1"/>
  <c r="CB99" i="9"/>
  <c r="CC99" i="9" s="1"/>
  <c r="CD99" i="9" s="1"/>
  <c r="CE99" i="9" s="1"/>
  <c r="AI99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CB163" i="9"/>
  <c r="CC163" i="9" s="1"/>
  <c r="CD163" i="9" s="1"/>
  <c r="CE163" i="9" s="1"/>
  <c r="AI163" i="9"/>
  <c r="CB225" i="9"/>
  <c r="CC225" i="9" s="1"/>
  <c r="CD225" i="9" s="1"/>
  <c r="CE225" i="9" s="1"/>
  <c r="AI225" i="9"/>
  <c r="BS102" i="18"/>
  <c r="BT102" i="18" s="1"/>
  <c r="BU102" i="18" s="1"/>
  <c r="CB102" i="18"/>
  <c r="CC102" i="18" s="1"/>
  <c r="CD102" i="18" s="1"/>
  <c r="CE102" i="18" s="1"/>
  <c r="BM102" i="18"/>
  <c r="BL102" i="18"/>
  <c r="R274" i="13"/>
  <c r="F83" i="13" s="1"/>
  <c r="G90" i="13"/>
  <c r="G120" i="13" s="1"/>
  <c r="F7" i="13" s="1"/>
  <c r="S274" i="13"/>
  <c r="M83" i="13" s="1"/>
  <c r="M90" i="13"/>
  <c r="X120" i="13" s="1"/>
  <c r="X7" i="13" s="1"/>
  <c r="F93" i="13"/>
  <c r="F123" i="13" s="1"/>
  <c r="E10" i="13" s="1"/>
  <c r="L271" i="13"/>
  <c r="E80" i="13" s="1"/>
  <c r="M271" i="13"/>
  <c r="L80" i="13" s="1"/>
  <c r="L93" i="13"/>
  <c r="W123" i="13" s="1"/>
  <c r="W10" i="13" s="1"/>
  <c r="CB100" i="9"/>
  <c r="CC100" i="9" s="1"/>
  <c r="CD100" i="9" s="1"/>
  <c r="CE100" i="9" s="1"/>
  <c r="AI100" i="9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B164" i="9"/>
  <c r="CC164" i="9" s="1"/>
  <c r="CD164" i="9" s="1"/>
  <c r="CE164" i="9" s="1"/>
  <c r="AI164" i="9"/>
  <c r="CB226" i="9"/>
  <c r="CC226" i="9" s="1"/>
  <c r="CD226" i="9" s="1"/>
  <c r="CE226" i="9" s="1"/>
  <c r="AI226" i="9"/>
  <c r="B10" i="19"/>
  <c r="B10" i="16"/>
  <c r="Z37" i="10"/>
  <c r="E117" i="5"/>
  <c r="R89" i="5"/>
  <c r="AF28" i="5"/>
  <c r="B118" i="5" s="1"/>
  <c r="C118" i="5"/>
  <c r="AE27" i="5"/>
  <c r="C10" i="16"/>
  <c r="C10" i="19"/>
  <c r="C120" i="19" s="1"/>
  <c r="AA37" i="10"/>
  <c r="CB96" i="18"/>
  <c r="BS96" i="18"/>
  <c r="BL96" i="18"/>
  <c r="BM96" i="18"/>
  <c r="CB98" i="18"/>
  <c r="CC98" i="18" s="1"/>
  <c r="CD98" i="18" s="1"/>
  <c r="CE98" i="18" s="1"/>
  <c r="BS98" i="18"/>
  <c r="BT98" i="18" s="1"/>
  <c r="BU98" i="18" s="1"/>
  <c r="BL98" i="18"/>
  <c r="BM98" i="18"/>
  <c r="M98" i="13"/>
  <c r="X128" i="13" s="1"/>
  <c r="X15" i="13" s="1"/>
  <c r="S266" i="13"/>
  <c r="M75" i="13" s="1"/>
  <c r="H98" i="13"/>
  <c r="H128" i="13" s="1"/>
  <c r="G15" i="13" s="1"/>
  <c r="X266" i="13"/>
  <c r="G75" i="13" s="1"/>
  <c r="X272" i="13"/>
  <c r="G81" i="13" s="1"/>
  <c r="H92" i="13"/>
  <c r="H122" i="13" s="1"/>
  <c r="G9" i="13" s="1"/>
  <c r="Y269" i="13"/>
  <c r="N78" i="13" s="1"/>
  <c r="N95" i="13"/>
  <c r="Y125" i="13" s="1"/>
  <c r="Y12" i="13" s="1"/>
  <c r="N96" i="13"/>
  <c r="Y126" i="13" s="1"/>
  <c r="Y13" i="13" s="1"/>
  <c r="Y268" i="13"/>
  <c r="N77" i="13" s="1"/>
  <c r="N94" i="13"/>
  <c r="Y124" i="13" s="1"/>
  <c r="Y11" i="13" s="1"/>
  <c r="Y270" i="13"/>
  <c r="N79" i="13" s="1"/>
  <c r="M96" i="13"/>
  <c r="X126" i="13" s="1"/>
  <c r="X13" i="13" s="1"/>
  <c r="S268" i="13"/>
  <c r="M77" i="13" s="1"/>
  <c r="N97" i="13"/>
  <c r="Y127" i="13" s="1"/>
  <c r="Y14" i="13" s="1"/>
  <c r="Y267" i="13"/>
  <c r="N76" i="13" s="1"/>
  <c r="X267" i="13"/>
  <c r="G76" i="13" s="1"/>
  <c r="H97" i="13"/>
  <c r="H127" i="13" s="1"/>
  <c r="G14" i="13" s="1"/>
  <c r="S267" i="13"/>
  <c r="M76" i="13" s="1"/>
  <c r="M97" i="13"/>
  <c r="X127" i="13" s="1"/>
  <c r="X14" i="13" s="1"/>
  <c r="H96" i="13"/>
  <c r="H126" i="13" s="1"/>
  <c r="G13" i="13" s="1"/>
  <c r="X268" i="13"/>
  <c r="G77" i="13" s="1"/>
  <c r="Y271" i="13"/>
  <c r="N80" i="13" s="1"/>
  <c r="N93" i="13"/>
  <c r="Y123" i="13" s="1"/>
  <c r="Y10" i="13" s="1"/>
  <c r="Y273" i="13"/>
  <c r="N82" i="13" s="1"/>
  <c r="N91" i="13"/>
  <c r="Y121" i="13" s="1"/>
  <c r="Y8" i="13" s="1"/>
  <c r="H91" i="13"/>
  <c r="H121" i="13" s="1"/>
  <c r="G8" i="13" s="1"/>
  <c r="X273" i="13"/>
  <c r="G82" i="13" s="1"/>
  <c r="H90" i="13"/>
  <c r="H120" i="13" s="1"/>
  <c r="G7" i="13" s="1"/>
  <c r="X274" i="13"/>
  <c r="G83" i="13" s="1"/>
  <c r="H93" i="13"/>
  <c r="H123" i="13" s="1"/>
  <c r="G10" i="13" s="1"/>
  <c r="X271" i="13"/>
  <c r="G80" i="13" s="1"/>
  <c r="N98" i="13"/>
  <c r="Y128" i="13" s="1"/>
  <c r="Y15" i="13" s="1"/>
  <c r="Y266" i="13"/>
  <c r="N75" i="13" s="1"/>
  <c r="G98" i="13"/>
  <c r="G128" i="13" s="1"/>
  <c r="F15" i="13" s="1"/>
  <c r="R266" i="13"/>
  <c r="F75" i="13" s="1"/>
  <c r="G96" i="13"/>
  <c r="G126" i="13" s="1"/>
  <c r="F13" i="13" s="1"/>
  <c r="R268" i="13"/>
  <c r="F77" i="13" s="1"/>
  <c r="X269" i="13"/>
  <c r="G78" i="13" s="1"/>
  <c r="H95" i="13"/>
  <c r="H125" i="13" s="1"/>
  <c r="G12" i="13" s="1"/>
  <c r="Y272" i="13"/>
  <c r="N81" i="13" s="1"/>
  <c r="N92" i="13"/>
  <c r="Y122" i="13" s="1"/>
  <c r="Y9" i="13" s="1"/>
  <c r="Y274" i="13"/>
  <c r="N83" i="13" s="1"/>
  <c r="N90" i="13"/>
  <c r="Y120" i="13" s="1"/>
  <c r="Y7" i="13" s="1"/>
  <c r="G97" i="13"/>
  <c r="G127" i="13" s="1"/>
  <c r="F14" i="13" s="1"/>
  <c r="R267" i="13"/>
  <c r="F76" i="13" s="1"/>
  <c r="H94" i="13"/>
  <c r="H124" i="13" s="1"/>
  <c r="G11" i="13" s="1"/>
  <c r="X270" i="13"/>
  <c r="G79" i="13" s="1"/>
  <c r="F99" i="13"/>
  <c r="F129" i="13" s="1"/>
  <c r="E16" i="13" s="1"/>
  <c r="L265" i="13"/>
  <c r="E74" i="13" s="1"/>
  <c r="G99" i="13"/>
  <c r="G129" i="13" s="1"/>
  <c r="F16" i="13" s="1"/>
  <c r="R265" i="13"/>
  <c r="F74" i="13" s="1"/>
  <c r="S265" i="13"/>
  <c r="M74" i="13" s="1"/>
  <c r="M99" i="13"/>
  <c r="X129" i="13" s="1"/>
  <c r="X16" i="13" s="1"/>
  <c r="Y265" i="13"/>
  <c r="N74" i="13" s="1"/>
  <c r="N99" i="13"/>
  <c r="Y129" i="13" s="1"/>
  <c r="Y16" i="13" s="1"/>
  <c r="L99" i="13"/>
  <c r="W129" i="13" s="1"/>
  <c r="W16" i="13" s="1"/>
  <c r="M265" i="13"/>
  <c r="L74" i="13" s="1"/>
  <c r="H99" i="13"/>
  <c r="H129" i="13" s="1"/>
  <c r="G16" i="13" s="1"/>
  <c r="X265" i="13"/>
  <c r="G74" i="13" s="1"/>
  <c r="L98" i="13"/>
  <c r="W128" i="13" s="1"/>
  <c r="W15" i="13" s="1"/>
  <c r="M266" i="13"/>
  <c r="L75" i="13" s="1"/>
  <c r="M95" i="13"/>
  <c r="X125" i="13" s="1"/>
  <c r="X12" i="13" s="1"/>
  <c r="S269" i="13"/>
  <c r="M78" i="13" s="1"/>
  <c r="R269" i="13"/>
  <c r="F78" i="13" s="1"/>
  <c r="G95" i="13"/>
  <c r="G125" i="13" s="1"/>
  <c r="F12" i="13" s="1"/>
  <c r="F98" i="13"/>
  <c r="F128" i="13" s="1"/>
  <c r="E15" i="13" s="1"/>
  <c r="L266" i="13"/>
  <c r="E75" i="13" s="1"/>
  <c r="M94" i="13"/>
  <c r="X124" i="13" s="1"/>
  <c r="X11" i="13" s="1"/>
  <c r="S270" i="13"/>
  <c r="M79" i="13" s="1"/>
  <c r="L97" i="13"/>
  <c r="W127" i="13" s="1"/>
  <c r="W14" i="13" s="1"/>
  <c r="M267" i="13"/>
  <c r="L76" i="13" s="1"/>
  <c r="G94" i="13"/>
  <c r="G124" i="13" s="1"/>
  <c r="F11" i="13" s="1"/>
  <c r="R270" i="13"/>
  <c r="F79" i="13" s="1"/>
  <c r="L267" i="13"/>
  <c r="E76" i="13" s="1"/>
  <c r="F97" i="13"/>
  <c r="F127" i="13" s="1"/>
  <c r="E14" i="13" s="1"/>
  <c r="AS34" i="9"/>
  <c r="AT34" i="9" s="1"/>
  <c r="AU34" i="9" s="1"/>
  <c r="AV34" i="9" s="1"/>
  <c r="CB34" i="9"/>
  <c r="CC34" i="9" s="1"/>
  <c r="CD34" i="9" s="1"/>
  <c r="CE34" i="9" s="1"/>
  <c r="BC34" i="9"/>
  <c r="BD34" i="9" s="1"/>
  <c r="BE34" i="9" s="1"/>
  <c r="BF34" i="9" s="1"/>
  <c r="AI34" i="9"/>
  <c r="AJ34" i="9" s="1"/>
  <c r="AK34" i="9" s="1"/>
  <c r="AL34" i="9" s="1"/>
  <c r="BM34" i="9"/>
  <c r="BN34" i="9" s="1"/>
  <c r="BO34" i="9" s="1"/>
  <c r="BP34" i="9" s="1"/>
  <c r="CB96" i="9"/>
  <c r="CC96" i="9" s="1"/>
  <c r="CD96" i="9" s="1"/>
  <c r="CE96" i="9" s="1"/>
  <c r="AI96" i="9"/>
  <c r="CB222" i="9"/>
  <c r="CC222" i="9" s="1"/>
  <c r="CD222" i="9" s="1"/>
  <c r="CE222" i="9" s="1"/>
  <c r="AI222" i="9"/>
  <c r="CB160" i="9"/>
  <c r="CC160" i="9" s="1"/>
  <c r="CD160" i="9" s="1"/>
  <c r="CE160" i="9" s="1"/>
  <c r="AI160" i="9"/>
  <c r="CB95" i="9"/>
  <c r="AI95" i="9"/>
  <c r="BC33" i="9"/>
  <c r="BM33" i="9"/>
  <c r="AI33" i="9"/>
  <c r="AS33" i="9"/>
  <c r="CB33" i="9"/>
  <c r="CB221" i="9"/>
  <c r="CC221" i="9" s="1"/>
  <c r="CD221" i="9" s="1"/>
  <c r="CE221" i="9" s="1"/>
  <c r="AI221" i="9"/>
  <c r="CB159" i="9"/>
  <c r="CC159" i="9" s="1"/>
  <c r="CD159" i="9" s="1"/>
  <c r="CE159" i="9" s="1"/>
  <c r="AI159" i="9"/>
  <c r="Z44" i="9"/>
  <c r="Y47" i="9"/>
  <c r="Y51" i="9" s="1"/>
  <c r="AC33" i="9"/>
  <c r="AC43" i="9" s="1"/>
  <c r="AC44" i="9" s="1"/>
  <c r="Y52" i="9" s="1"/>
  <c r="AD33" i="9"/>
  <c r="AI35" i="18" s="1"/>
  <c r="AC157" i="9"/>
  <c r="AD157" i="9"/>
  <c r="CB100" i="18"/>
  <c r="CC100" i="18" s="1"/>
  <c r="CD100" i="18" s="1"/>
  <c r="CE100" i="18" s="1"/>
  <c r="BS100" i="18"/>
  <c r="BT100" i="18" s="1"/>
  <c r="BU100" i="18" s="1"/>
  <c r="BL100" i="18"/>
  <c r="BM100" i="18"/>
  <c r="M92" i="13"/>
  <c r="X122" i="13" s="1"/>
  <c r="X9" i="13" s="1"/>
  <c r="S272" i="13"/>
  <c r="M81" i="13" s="1"/>
  <c r="L269" i="13"/>
  <c r="E78" i="13" s="1"/>
  <c r="F95" i="13"/>
  <c r="F125" i="13" s="1"/>
  <c r="E12" i="13" s="1"/>
  <c r="L95" i="13"/>
  <c r="W125" i="13" s="1"/>
  <c r="W12" i="13" s="1"/>
  <c r="M269" i="13"/>
  <c r="L78" i="13" s="1"/>
  <c r="G92" i="13"/>
  <c r="G122" i="13" s="1"/>
  <c r="F9" i="13" s="1"/>
  <c r="R272" i="13"/>
  <c r="F81" i="13" s="1"/>
  <c r="CB98" i="9"/>
  <c r="CC98" i="9" s="1"/>
  <c r="CD98" i="9" s="1"/>
  <c r="CE98" i="9" s="1"/>
  <c r="AI98" i="9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162" i="9"/>
  <c r="CC162" i="9" s="1"/>
  <c r="CD162" i="9" s="1"/>
  <c r="CE162" i="9" s="1"/>
  <c r="AI162" i="9"/>
  <c r="CB224" i="9"/>
  <c r="CC224" i="9" s="1"/>
  <c r="CD224" i="9" s="1"/>
  <c r="CE224" i="9" s="1"/>
  <c r="AI224" i="9"/>
  <c r="BC224" i="9" l="1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224" i="9"/>
  <c r="CF224" i="9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F162" i="9"/>
  <c r="CG162" i="9"/>
  <c r="AX36" i="9"/>
  <c r="AW36" i="9"/>
  <c r="AN36" i="9"/>
  <c r="AM36" i="9"/>
  <c r="BR36" i="9"/>
  <c r="BQ36" i="9"/>
  <c r="BH36" i="9"/>
  <c r="BG36" i="9"/>
  <c r="CF36" i="9"/>
  <c r="CG3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CG98" i="9"/>
  <c r="CF98" i="9"/>
  <c r="BV100" i="18"/>
  <c r="BW100" i="18"/>
  <c r="CF100" i="18"/>
  <c r="CG100" i="18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CG159" i="9"/>
  <c r="CF159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CG221" i="9"/>
  <c r="CF221" i="9"/>
  <c r="CC33" i="9"/>
  <c r="CD33" i="9" s="1"/>
  <c r="CE33" i="9" s="1"/>
  <c r="CB43" i="9"/>
  <c r="AT33" i="9"/>
  <c r="AU33" i="9" s="1"/>
  <c r="AV33" i="9" s="1"/>
  <c r="AS43" i="9"/>
  <c r="AJ33" i="9"/>
  <c r="AK33" i="9" s="1"/>
  <c r="AL33" i="9" s="1"/>
  <c r="AI43" i="9"/>
  <c r="BN33" i="9"/>
  <c r="BO33" i="9" s="1"/>
  <c r="BP33" i="9" s="1"/>
  <c r="BM43" i="9"/>
  <c r="BD33" i="9"/>
  <c r="BE33" i="9" s="1"/>
  <c r="BF33" i="9" s="1"/>
  <c r="BC43" i="9"/>
  <c r="BC95" i="9"/>
  <c r="BD95" i="9" s="1"/>
  <c r="BE95" i="9" s="1"/>
  <c r="BF95" i="9" s="1"/>
  <c r="BM95" i="9"/>
  <c r="BN95" i="9" s="1"/>
  <c r="BO95" i="9" s="1"/>
  <c r="BP95" i="9" s="1"/>
  <c r="AJ95" i="9"/>
  <c r="AK95" i="9" s="1"/>
  <c r="AL95" i="9" s="1"/>
  <c r="AS95" i="9"/>
  <c r="AT95" i="9" s="1"/>
  <c r="AU95" i="9" s="1"/>
  <c r="AV95" i="9" s="1"/>
  <c r="AI105" i="9"/>
  <c r="CC95" i="9"/>
  <c r="CD95" i="9" s="1"/>
  <c r="CE95" i="9" s="1"/>
  <c r="CB105" i="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CG160" i="9"/>
  <c r="CF160" i="9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CG222" i="9"/>
  <c r="CF222" i="9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CG96" i="9"/>
  <c r="CF96" i="9"/>
  <c r="BR34" i="9"/>
  <c r="BQ34" i="9"/>
  <c r="AN34" i="9"/>
  <c r="AM34" i="9"/>
  <c r="BH34" i="9"/>
  <c r="BG34" i="9"/>
  <c r="CG34" i="9"/>
  <c r="CF34" i="9"/>
  <c r="AX34" i="9"/>
  <c r="AW34" i="9"/>
  <c r="Y30" i="13"/>
  <c r="Y31" i="13"/>
  <c r="G30" i="13"/>
  <c r="G31" i="13"/>
  <c r="BV98" i="18"/>
  <c r="BW98" i="18"/>
  <c r="CF98" i="18"/>
  <c r="CG98" i="18"/>
  <c r="BT96" i="18"/>
  <c r="BU96" i="18" s="1"/>
  <c r="BS107" i="18"/>
  <c r="CC96" i="18"/>
  <c r="CD96" i="18" s="1"/>
  <c r="CE96" i="18" s="1"/>
  <c r="CB107" i="18"/>
  <c r="C119" i="5"/>
  <c r="AE26" i="5"/>
  <c r="AF27" i="5"/>
  <c r="B119" i="5" s="1"/>
  <c r="E118" i="5"/>
  <c r="AA36" i="10"/>
  <c r="C11" i="16"/>
  <c r="C11" i="19"/>
  <c r="C121" i="19" s="1"/>
  <c r="Z36" i="10"/>
  <c r="B11" i="19"/>
  <c r="B11" i="16"/>
  <c r="I117" i="5"/>
  <c r="J117" i="5" s="1"/>
  <c r="AB37" i="10"/>
  <c r="L117" i="5"/>
  <c r="G10" i="19" s="1"/>
  <c r="G120" i="19" s="1"/>
  <c r="D10" i="16"/>
  <c r="B120" i="19"/>
  <c r="E120" i="19" s="1"/>
  <c r="E10" i="1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CF226" i="9"/>
  <c r="CG226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64" i="9"/>
  <c r="CG164" i="9"/>
  <c r="BR38" i="9"/>
  <c r="BQ38" i="9"/>
  <c r="AM38" i="9"/>
  <c r="AN38" i="9"/>
  <c r="CF38" i="9"/>
  <c r="CG38" i="9"/>
  <c r="BH38" i="9"/>
  <c r="BG38" i="9"/>
  <c r="AX38" i="9"/>
  <c r="AW38" i="9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CF100" i="9"/>
  <c r="CG100" i="9"/>
  <c r="W31" i="13"/>
  <c r="W30" i="13"/>
  <c r="E31" i="13"/>
  <c r="E30" i="13"/>
  <c r="X31" i="13"/>
  <c r="X30" i="13"/>
  <c r="F30" i="13"/>
  <c r="F31" i="13"/>
  <c r="U4" i="13"/>
  <c r="U5" i="13" s="1"/>
  <c r="U6" i="13" s="1"/>
  <c r="CF102" i="18"/>
  <c r="CG102" i="18"/>
  <c r="BV102" i="18"/>
  <c r="BW102" i="18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CF225" i="9"/>
  <c r="CG225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CF163" i="9"/>
  <c r="CG163" i="9"/>
  <c r="AX37" i="9"/>
  <c r="AW37" i="9"/>
  <c r="BR37" i="9"/>
  <c r="BQ37" i="9"/>
  <c r="BG37" i="9"/>
  <c r="BH37" i="9"/>
  <c r="AN37" i="9"/>
  <c r="AM37" i="9"/>
  <c r="CG37" i="9"/>
  <c r="CF37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CF99" i="9"/>
  <c r="CG99" i="9"/>
  <c r="CF101" i="18"/>
  <c r="CG101" i="18"/>
  <c r="BV101" i="18"/>
  <c r="BW101" i="18"/>
  <c r="Z13" i="17"/>
  <c r="K13" i="17"/>
  <c r="Y13" i="17"/>
  <c r="J13" i="17"/>
  <c r="AA13" i="17"/>
  <c r="L13" i="17"/>
  <c r="AB13" i="17"/>
  <c r="M13" i="17"/>
  <c r="CF102" i="9"/>
  <c r="CG102" i="9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BR40" i="9"/>
  <c r="BQ40" i="9"/>
  <c r="BG40" i="9"/>
  <c r="BH40" i="9"/>
  <c r="AX40" i="9"/>
  <c r="AW40" i="9"/>
  <c r="CF40" i="9"/>
  <c r="CG40" i="9"/>
  <c r="AM40" i="9"/>
  <c r="AN40" i="9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1" i="9"/>
  <c r="CG161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CG223" i="9"/>
  <c r="CF223" i="9"/>
  <c r="BQ35" i="9"/>
  <c r="BR35" i="9"/>
  <c r="AX35" i="9"/>
  <c r="AW35" i="9"/>
  <c r="AM35" i="9"/>
  <c r="AN35" i="9"/>
  <c r="BH35" i="9"/>
  <c r="BG35" i="9"/>
  <c r="CF35" i="9"/>
  <c r="CG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CG97" i="9"/>
  <c r="CF97" i="9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AI167" i="9"/>
  <c r="CC156" i="9"/>
  <c r="CD156" i="9" s="1"/>
  <c r="CE156" i="9" s="1"/>
  <c r="CB167" i="9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AI229" i="9"/>
  <c r="CC218" i="9"/>
  <c r="CB229" i="9"/>
  <c r="BW97" i="18"/>
  <c r="BV97" i="18"/>
  <c r="CG97" i="18"/>
  <c r="CF97" i="18"/>
  <c r="CF99" i="18"/>
  <c r="CG99" i="18"/>
  <c r="BW99" i="18"/>
  <c r="BV99" i="18"/>
  <c r="R23" i="17"/>
  <c r="R24" i="17"/>
  <c r="R25" i="17"/>
  <c r="R26" i="17"/>
  <c r="R27" i="17" s="1"/>
  <c r="R28" i="17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BQ39" i="9"/>
  <c r="BR39" i="9"/>
  <c r="AX39" i="9"/>
  <c r="AW39" i="9"/>
  <c r="BH39" i="9"/>
  <c r="BG39" i="9"/>
  <c r="AM39" i="9"/>
  <c r="AN39" i="9"/>
  <c r="CF39" i="9"/>
  <c r="CG39" i="9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CF101" i="9"/>
  <c r="CG101" i="9"/>
  <c r="BW103" i="18"/>
  <c r="BV103" i="18"/>
  <c r="CG103" i="18"/>
  <c r="CF103" i="18"/>
  <c r="AX57" i="18"/>
  <c r="BF152" i="9"/>
  <c r="AM152" i="9"/>
  <c r="AN152" i="9"/>
  <c r="AV152" i="9"/>
  <c r="CF152" i="9"/>
  <c r="CG152" i="9"/>
  <c r="Y170" i="9"/>
  <c r="Z168" i="9"/>
  <c r="AD155" i="9"/>
  <c r="AD167" i="9" s="1"/>
  <c r="AD168" i="9" s="1"/>
  <c r="Y173" i="9" s="1"/>
  <c r="AC155" i="9"/>
  <c r="AC167" i="9" s="1"/>
  <c r="AC168" i="9" s="1"/>
  <c r="Y176" i="9" s="1"/>
  <c r="AB167" i="9"/>
  <c r="AB168" i="9" s="1"/>
  <c r="Y174" i="9" s="1"/>
  <c r="Y177" i="9" s="1"/>
  <c r="Y175" i="9"/>
  <c r="AI33" i="18"/>
  <c r="AD43" i="9"/>
  <c r="AD44" i="9" s="1"/>
  <c r="Y49" i="9" s="1"/>
  <c r="Y54" i="9" s="1"/>
  <c r="AC45" i="7"/>
  <c r="A36" i="13" s="1"/>
  <c r="I45" i="7"/>
  <c r="C37" i="4"/>
  <c r="J114" i="10"/>
  <c r="J168" i="10" s="1"/>
  <c r="U53" i="19"/>
  <c r="J217" i="14"/>
  <c r="J107" i="19"/>
  <c r="J161" i="14"/>
  <c r="J217" i="19"/>
  <c r="J107" i="14"/>
  <c r="J52" i="14"/>
  <c r="CD153" i="9"/>
  <c r="CC167" i="9"/>
  <c r="AT153" i="9"/>
  <c r="AS167" i="9"/>
  <c r="BN153" i="9"/>
  <c r="BM167" i="9"/>
  <c r="BD153" i="9"/>
  <c r="BC167" i="9"/>
  <c r="AK153" i="9"/>
  <c r="AJ167" i="9"/>
  <c r="AT215" i="9"/>
  <c r="AU215" i="9" s="1"/>
  <c r="AV215" i="9" s="1"/>
  <c r="AS229" i="9"/>
  <c r="BN215" i="9"/>
  <c r="BM229" i="9"/>
  <c r="BD215" i="9"/>
  <c r="BE215" i="9" s="1"/>
  <c r="BF215" i="9" s="1"/>
  <c r="BC229" i="9"/>
  <c r="AK215" i="9"/>
  <c r="AL215" i="9" s="1"/>
  <c r="AJ229" i="9"/>
  <c r="CD92" i="9"/>
  <c r="CC105" i="9"/>
  <c r="AT92" i="9"/>
  <c r="AS105" i="9"/>
  <c r="AK92" i="9"/>
  <c r="AJ105" i="9"/>
  <c r="BD92" i="9"/>
  <c r="BC105" i="9"/>
  <c r="BN92" i="9"/>
  <c r="BM105" i="9"/>
  <c r="BO30" i="9"/>
  <c r="BN43" i="9"/>
  <c r="BE30" i="9"/>
  <c r="BD43" i="9"/>
  <c r="CD30" i="9"/>
  <c r="CC43" i="9"/>
  <c r="AK30" i="9"/>
  <c r="AJ43" i="9"/>
  <c r="AU30" i="9"/>
  <c r="AT43" i="9"/>
  <c r="AN93" i="9"/>
  <c r="AM93" i="9"/>
  <c r="BQ93" i="9"/>
  <c r="BR93" i="9"/>
  <c r="BH93" i="9"/>
  <c r="BG93" i="9"/>
  <c r="AW93" i="9"/>
  <c r="AX93" i="9"/>
  <c r="BQ216" i="9"/>
  <c r="BR216" i="9"/>
  <c r="BG216" i="9"/>
  <c r="BH216" i="9"/>
  <c r="AW216" i="9"/>
  <c r="AX216" i="9"/>
  <c r="AM216" i="9"/>
  <c r="AN216" i="9"/>
  <c r="AW154" i="9"/>
  <c r="AX154" i="9"/>
  <c r="BR154" i="9"/>
  <c r="BQ154" i="9"/>
  <c r="BG154" i="9"/>
  <c r="BH154" i="9"/>
  <c r="AN154" i="9"/>
  <c r="AM154" i="9"/>
  <c r="AW155" i="9"/>
  <c r="AX155" i="9"/>
  <c r="AN155" i="9"/>
  <c r="AM155" i="9"/>
  <c r="BG155" i="9"/>
  <c r="BH155" i="9"/>
  <c r="BR155" i="9"/>
  <c r="BQ155" i="9"/>
  <c r="BQ217" i="9"/>
  <c r="BR217" i="9"/>
  <c r="AM217" i="9"/>
  <c r="AN217" i="9"/>
  <c r="AW217" i="9"/>
  <c r="AX217" i="9"/>
  <c r="BG217" i="9"/>
  <c r="BH217" i="9"/>
  <c r="BG94" i="9"/>
  <c r="BH94" i="9"/>
  <c r="AM94" i="9"/>
  <c r="AN94" i="9"/>
  <c r="AW94" i="9"/>
  <c r="AX94" i="9"/>
  <c r="BQ94" i="9"/>
  <c r="BR94" i="9"/>
  <c r="AW157" i="9"/>
  <c r="AX157" i="9"/>
  <c r="AN157" i="9"/>
  <c r="AM157" i="9"/>
  <c r="BR157" i="9"/>
  <c r="BQ157" i="9"/>
  <c r="BG157" i="9"/>
  <c r="BH157" i="9"/>
  <c r="BR219" i="9"/>
  <c r="BQ219" i="9"/>
  <c r="AM219" i="9"/>
  <c r="AN219" i="9"/>
  <c r="BG219" i="9"/>
  <c r="BH219" i="9"/>
  <c r="AX219" i="9"/>
  <c r="AW219" i="9"/>
  <c r="BR220" i="9"/>
  <c r="BQ220" i="9"/>
  <c r="AX220" i="9"/>
  <c r="AW220" i="9"/>
  <c r="AN220" i="9"/>
  <c r="AM220" i="9"/>
  <c r="BH220" i="9"/>
  <c r="BG220" i="9"/>
  <c r="AX158" i="9"/>
  <c r="AW158" i="9"/>
  <c r="BG158" i="9"/>
  <c r="BH158" i="9"/>
  <c r="BR158" i="9"/>
  <c r="BQ158" i="9"/>
  <c r="AM158" i="9"/>
  <c r="AN158" i="9"/>
  <c r="BH110" i="18"/>
  <c r="BI108" i="18"/>
  <c r="BM94" i="18"/>
  <c r="BM107" i="18" s="1"/>
  <c r="BM108" i="18" s="1"/>
  <c r="BH113" i="18" s="1"/>
  <c r="BL94" i="18"/>
  <c r="BL107" i="18" s="1"/>
  <c r="BL108" i="18" s="1"/>
  <c r="BH116" i="18" s="1"/>
  <c r="BK107" i="18"/>
  <c r="BK108" i="18" s="1"/>
  <c r="BH114" i="18" s="1"/>
  <c r="BH117" i="18" s="1"/>
  <c r="BH115" i="18"/>
  <c r="BU94" i="18"/>
  <c r="BT107" i="18"/>
  <c r="BR110" i="18" s="1"/>
  <c r="CD94" i="18"/>
  <c r="CC107" i="18"/>
  <c r="AU115" i="18"/>
  <c r="AX117" i="18"/>
  <c r="AU117" i="18" s="1"/>
  <c r="AU114" i="18"/>
  <c r="AU113" i="18"/>
  <c r="AX118" i="18"/>
  <c r="Y233" i="9"/>
  <c r="AB217" i="9"/>
  <c r="AA229" i="9"/>
  <c r="Y108" i="9"/>
  <c r="V108" i="9" s="1"/>
  <c r="Z106" i="9"/>
  <c r="AC93" i="9"/>
  <c r="AC105" i="9" s="1"/>
  <c r="AC106" i="9" s="1"/>
  <c r="Y114" i="9" s="1"/>
  <c r="V114" i="9" s="1"/>
  <c r="AD93" i="9"/>
  <c r="AD105" i="9" s="1"/>
  <c r="AD106" i="9" s="1"/>
  <c r="Y111" i="9" s="1"/>
  <c r="AB105" i="9"/>
  <c r="AB106" i="9" s="1"/>
  <c r="Y112" i="9" s="1"/>
  <c r="V109" i="9"/>
  <c r="Y113" i="9"/>
  <c r="BE214" i="9"/>
  <c r="BD229" i="9"/>
  <c r="AL214" i="9"/>
  <c r="AK229" i="9"/>
  <c r="AI232" i="9" s="1"/>
  <c r="AU214" i="9"/>
  <c r="AT229" i="9"/>
  <c r="CE214" i="9"/>
  <c r="CG214" i="9" l="1"/>
  <c r="CF214" i="9"/>
  <c r="AS233" i="9"/>
  <c r="AV214" i="9"/>
  <c r="AU229" i="9"/>
  <c r="AN214" i="9"/>
  <c r="AM214" i="9"/>
  <c r="AL229" i="9"/>
  <c r="AL230" i="9" s="1"/>
  <c r="AI236" i="9" s="1"/>
  <c r="AI239" i="9" s="1"/>
  <c r="BC233" i="9"/>
  <c r="BF214" i="9"/>
  <c r="BE229" i="9"/>
  <c r="V113" i="9"/>
  <c r="V112" i="9"/>
  <c r="Y115" i="9"/>
  <c r="V115" i="9" s="1"/>
  <c r="V111" i="9"/>
  <c r="Y116" i="9"/>
  <c r="Y232" i="9"/>
  <c r="Z230" i="9"/>
  <c r="AC217" i="9"/>
  <c r="AC229" i="9" s="1"/>
  <c r="AC230" i="9" s="1"/>
  <c r="Y238" i="9" s="1"/>
  <c r="AD217" i="9"/>
  <c r="AD229" i="9" s="1"/>
  <c r="AD230" i="9" s="1"/>
  <c r="Y235" i="9" s="1"/>
  <c r="AB229" i="9"/>
  <c r="AB230" i="9" s="1"/>
  <c r="Y236" i="9" s="1"/>
  <c r="Y239" i="9" s="1"/>
  <c r="Y237" i="9"/>
  <c r="AU118" i="18"/>
  <c r="AX119" i="18"/>
  <c r="CB111" i="18"/>
  <c r="CE94" i="18"/>
  <c r="CD107" i="18"/>
  <c r="BV94" i="18"/>
  <c r="BW94" i="18"/>
  <c r="BU107" i="18"/>
  <c r="BU108" i="18" s="1"/>
  <c r="BR114" i="18" s="1"/>
  <c r="BR117" i="18" s="1"/>
  <c r="BH118" i="18"/>
  <c r="AS47" i="9"/>
  <c r="AV30" i="9"/>
  <c r="AU43" i="9"/>
  <c r="AI47" i="9"/>
  <c r="AL30" i="9"/>
  <c r="AK43" i="9"/>
  <c r="CB47" i="9"/>
  <c r="CE30" i="9"/>
  <c r="CD43" i="9"/>
  <c r="BC47" i="9"/>
  <c r="BF30" i="9"/>
  <c r="BE43" i="9"/>
  <c r="BM47" i="9"/>
  <c r="BP30" i="9"/>
  <c r="BO43" i="9"/>
  <c r="BO92" i="9"/>
  <c r="BN105" i="9"/>
  <c r="BE92" i="9"/>
  <c r="BD105" i="9"/>
  <c r="AI109" i="9"/>
  <c r="AL92" i="9"/>
  <c r="AK105" i="9"/>
  <c r="AU92" i="9"/>
  <c r="AT105" i="9"/>
  <c r="CB109" i="9"/>
  <c r="CE92" i="9"/>
  <c r="CD105" i="9"/>
  <c r="AI233" i="9"/>
  <c r="AI237" i="9" s="1"/>
  <c r="AJ230" i="9"/>
  <c r="AN215" i="9"/>
  <c r="AM215" i="9"/>
  <c r="BH215" i="9"/>
  <c r="BG215" i="9"/>
  <c r="BO215" i="9"/>
  <c r="BN229" i="9"/>
  <c r="AX215" i="9"/>
  <c r="AW215" i="9"/>
  <c r="AI171" i="9"/>
  <c r="AL153" i="9"/>
  <c r="AK167" i="9"/>
  <c r="BE153" i="9"/>
  <c r="BD167" i="9"/>
  <c r="BO153" i="9"/>
  <c r="BN167" i="9"/>
  <c r="AU153" i="9"/>
  <c r="AT167" i="9"/>
  <c r="CB171" i="9"/>
  <c r="CE153" i="9"/>
  <c r="CD167" i="9"/>
  <c r="Y55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Y178" i="9"/>
  <c r="Y179" i="9" s="1"/>
  <c r="Y180" i="9" s="1"/>
  <c r="Y181" i="9" s="1"/>
  <c r="AX152" i="9"/>
  <c r="AW152" i="9"/>
  <c r="BH152" i="9"/>
  <c r="BG152" i="9"/>
  <c r="BD39" i="18"/>
  <c r="BE39" i="18" s="1"/>
  <c r="BD26" i="18"/>
  <c r="BE26" i="18" s="1"/>
  <c r="BD27" i="18"/>
  <c r="BE27" i="18" s="1"/>
  <c r="BD12" i="18"/>
  <c r="BE12" i="18" s="1"/>
  <c r="BD9" i="18"/>
  <c r="BE9" i="18" s="1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D13" i="18"/>
  <c r="BE13" i="18" s="1"/>
  <c r="BD19" i="18"/>
  <c r="BE19" i="18" s="1"/>
  <c r="BD11" i="18"/>
  <c r="BE11" i="18" s="1"/>
  <c r="BD25" i="18"/>
  <c r="BE25" i="18" s="1"/>
  <c r="BD30" i="18"/>
  <c r="BE30" i="18" s="1"/>
  <c r="BD24" i="18"/>
  <c r="BE24" i="18" s="1"/>
  <c r="BD21" i="18"/>
  <c r="BE21" i="18" s="1"/>
  <c r="BD35" i="18"/>
  <c r="BE35" i="18" s="1"/>
  <c r="BD41" i="18"/>
  <c r="BE41" i="18" s="1"/>
  <c r="BD14" i="18"/>
  <c r="BE14" i="18" s="1"/>
  <c r="BD22" i="18"/>
  <c r="BE22" i="18" s="1"/>
  <c r="BD23" i="18"/>
  <c r="BE23" i="18" s="1"/>
  <c r="BD10" i="18"/>
  <c r="BE10" i="18" s="1"/>
  <c r="BD31" i="18"/>
  <c r="BE31" i="18" s="1"/>
  <c r="BD17" i="18"/>
  <c r="BE17" i="18" s="1"/>
  <c r="BD34" i="18"/>
  <c r="BE34" i="18" s="1"/>
  <c r="BD43" i="18"/>
  <c r="BE43" i="18" s="1"/>
  <c r="BD20" i="18"/>
  <c r="BE20" i="18" s="1"/>
  <c r="BD42" i="18"/>
  <c r="BE42" i="18" s="1"/>
  <c r="BD38" i="18"/>
  <c r="BE38" i="18" s="1"/>
  <c r="BG101" i="9"/>
  <c r="BH101" i="9"/>
  <c r="BQ101" i="9"/>
  <c r="BR101" i="9"/>
  <c r="AM101" i="9"/>
  <c r="AN101" i="9"/>
  <c r="AX101" i="9"/>
  <c r="AW101" i="9"/>
  <c r="I30" i="17"/>
  <c r="I37" i="17"/>
  <c r="I27" i="17"/>
  <c r="I47" i="17"/>
  <c r="I25" i="17"/>
  <c r="I46" i="17"/>
  <c r="I33" i="17"/>
  <c r="I39" i="17"/>
  <c r="I35" i="17"/>
  <c r="I40" i="17"/>
  <c r="I44" i="17"/>
  <c r="I28" i="17"/>
  <c r="I36" i="17"/>
  <c r="I43" i="17"/>
  <c r="I34" i="17"/>
  <c r="I29" i="17"/>
  <c r="I32" i="17"/>
  <c r="I26" i="17"/>
  <c r="I38" i="17"/>
  <c r="I24" i="17"/>
  <c r="I41" i="17"/>
  <c r="I42" i="17"/>
  <c r="I31" i="17"/>
  <c r="I45" i="17"/>
  <c r="I22" i="17"/>
  <c r="I23" i="17"/>
  <c r="I14" i="17"/>
  <c r="I19" i="17"/>
  <c r="I21" i="17"/>
  <c r="I17" i="17"/>
  <c r="I18" i="17"/>
  <c r="I15" i="17"/>
  <c r="I20" i="17"/>
  <c r="I16" i="17"/>
  <c r="CD218" i="9"/>
  <c r="CC229" i="9"/>
  <c r="BG218" i="9"/>
  <c r="BH218" i="9"/>
  <c r="BR218" i="9"/>
  <c r="BQ218" i="9"/>
  <c r="AN218" i="9"/>
  <c r="AM218" i="9"/>
  <c r="AW218" i="9"/>
  <c r="AX218" i="9"/>
  <c r="CG156" i="9"/>
  <c r="CF156" i="9"/>
  <c r="AN156" i="9"/>
  <c r="AM156" i="9"/>
  <c r="BG156" i="9"/>
  <c r="BH156" i="9"/>
  <c r="AW156" i="9"/>
  <c r="AX156" i="9"/>
  <c r="BQ156" i="9"/>
  <c r="BR156" i="9"/>
  <c r="BG97" i="9"/>
  <c r="BH97" i="9"/>
  <c r="AN97" i="9"/>
  <c r="AM97" i="9"/>
  <c r="BR97" i="9"/>
  <c r="BQ97" i="9"/>
  <c r="AX97" i="9"/>
  <c r="AW97" i="9"/>
  <c r="BH223" i="9"/>
  <c r="BG223" i="9"/>
  <c r="AN223" i="9"/>
  <c r="AM223" i="9"/>
  <c r="BQ223" i="9"/>
  <c r="BR223" i="9"/>
  <c r="AW223" i="9"/>
  <c r="AX223" i="9"/>
  <c r="AW161" i="9"/>
  <c r="AX161" i="9"/>
  <c r="AN161" i="9"/>
  <c r="AM161" i="9"/>
  <c r="BQ161" i="9"/>
  <c r="BR161" i="9"/>
  <c r="BG161" i="9"/>
  <c r="BH161" i="9"/>
  <c r="AW102" i="9"/>
  <c r="AX102" i="9"/>
  <c r="BR102" i="9"/>
  <c r="BQ102" i="9"/>
  <c r="AM102" i="9"/>
  <c r="AN102" i="9"/>
  <c r="BG102" i="9"/>
  <c r="BH102" i="9"/>
  <c r="AW99" i="9"/>
  <c r="AX99" i="9"/>
  <c r="BQ99" i="9"/>
  <c r="BR99" i="9"/>
  <c r="AN99" i="9"/>
  <c r="AM99" i="9"/>
  <c r="BH99" i="9"/>
  <c r="BG99" i="9"/>
  <c r="AW163" i="9"/>
  <c r="AX163" i="9"/>
  <c r="BG163" i="9"/>
  <c r="BH163" i="9"/>
  <c r="AM163" i="9"/>
  <c r="AN163" i="9"/>
  <c r="BQ163" i="9"/>
  <c r="BR163" i="9"/>
  <c r="AM225" i="9"/>
  <c r="AN225" i="9"/>
  <c r="BQ225" i="9"/>
  <c r="BR225" i="9"/>
  <c r="BG225" i="9"/>
  <c r="BH225" i="9"/>
  <c r="AX225" i="9"/>
  <c r="AW225" i="9"/>
  <c r="G43" i="4"/>
  <c r="AA54" i="19"/>
  <c r="U53" i="14"/>
  <c r="P115" i="10"/>
  <c r="P169" i="10" s="1"/>
  <c r="Q115" i="10"/>
  <c r="Q169" i="10" s="1"/>
  <c r="AB54" i="19"/>
  <c r="V53" i="14"/>
  <c r="H43" i="4"/>
  <c r="G42" i="4"/>
  <c r="U54" i="14"/>
  <c r="AA55" i="19"/>
  <c r="P116" i="10"/>
  <c r="P170" i="10" s="1"/>
  <c r="H42" i="4"/>
  <c r="V54" i="14"/>
  <c r="Q116" i="10"/>
  <c r="Q170" i="10" s="1"/>
  <c r="AB55" i="19"/>
  <c r="AX100" i="9"/>
  <c r="AW100" i="9"/>
  <c r="BR100" i="9"/>
  <c r="BQ100" i="9"/>
  <c r="BG100" i="9"/>
  <c r="BH100" i="9"/>
  <c r="AM100" i="9"/>
  <c r="AN100" i="9"/>
  <c r="AN164" i="9"/>
  <c r="AM164" i="9"/>
  <c r="AW164" i="9"/>
  <c r="AX164" i="9"/>
  <c r="BR164" i="9"/>
  <c r="BQ164" i="9"/>
  <c r="BG164" i="9"/>
  <c r="BH164" i="9"/>
  <c r="AM226" i="9"/>
  <c r="AN226" i="9"/>
  <c r="BH226" i="9"/>
  <c r="BG226" i="9"/>
  <c r="BR226" i="9"/>
  <c r="BQ226" i="9"/>
  <c r="AW226" i="9"/>
  <c r="AX226" i="9"/>
  <c r="B121" i="19"/>
  <c r="E121" i="19" s="1"/>
  <c r="E11" i="19"/>
  <c r="D11" i="16"/>
  <c r="L118" i="5"/>
  <c r="G11" i="19" s="1"/>
  <c r="G121" i="19" s="1"/>
  <c r="AB36" i="10"/>
  <c r="I118" i="5"/>
  <c r="Z35" i="10"/>
  <c r="B12" i="19"/>
  <c r="E119" i="5"/>
  <c r="B12" i="16"/>
  <c r="C120" i="5"/>
  <c r="AE25" i="5"/>
  <c r="AF26" i="5"/>
  <c r="B120" i="5" s="1"/>
  <c r="C12" i="19"/>
  <c r="C122" i="19" s="1"/>
  <c r="C12" i="16"/>
  <c r="AA35" i="10"/>
  <c r="CF96" i="18"/>
  <c r="CG96" i="18"/>
  <c r="BS108" i="18"/>
  <c r="BR111" i="18"/>
  <c r="BR115" i="18" s="1"/>
  <c r="BV96" i="18"/>
  <c r="BW96" i="18"/>
  <c r="P114" i="10"/>
  <c r="P168" i="10" s="1"/>
  <c r="G44" i="4"/>
  <c r="U52" i="14"/>
  <c r="AA53" i="19"/>
  <c r="Q114" i="10"/>
  <c r="Q168" i="10" s="1"/>
  <c r="H44" i="4"/>
  <c r="V52" i="14"/>
  <c r="AB53" i="19"/>
  <c r="AM96" i="9"/>
  <c r="AN96" i="9"/>
  <c r="BH96" i="9"/>
  <c r="BG96" i="9"/>
  <c r="BR96" i="9"/>
  <c r="BQ96" i="9"/>
  <c r="AW96" i="9"/>
  <c r="AX96" i="9"/>
  <c r="AX222" i="9"/>
  <c r="AW222" i="9"/>
  <c r="BH222" i="9"/>
  <c r="BG222" i="9"/>
  <c r="BR222" i="9"/>
  <c r="BQ222" i="9"/>
  <c r="AM222" i="9"/>
  <c r="AN222" i="9"/>
  <c r="AN160" i="9"/>
  <c r="AM160" i="9"/>
  <c r="AX160" i="9"/>
  <c r="AW160" i="9"/>
  <c r="BG160" i="9"/>
  <c r="BH160" i="9"/>
  <c r="BR160" i="9"/>
  <c r="BQ160" i="9"/>
  <c r="CF95" i="9"/>
  <c r="CG95" i="9"/>
  <c r="AW95" i="9"/>
  <c r="AX95" i="9"/>
  <c r="AM95" i="9"/>
  <c r="AN95" i="9"/>
  <c r="BR95" i="9"/>
  <c r="BQ95" i="9"/>
  <c r="BH95" i="9"/>
  <c r="BG95" i="9"/>
  <c r="BH33" i="9"/>
  <c r="BG33" i="9"/>
  <c r="BR33" i="9"/>
  <c r="BQ33" i="9"/>
  <c r="AM33" i="9"/>
  <c r="AN33" i="9"/>
  <c r="AW33" i="9"/>
  <c r="AX33" i="9"/>
  <c r="CF33" i="9"/>
  <c r="CG33" i="9"/>
  <c r="BQ221" i="9"/>
  <c r="BR221" i="9"/>
  <c r="BH221" i="9"/>
  <c r="BG221" i="9"/>
  <c r="AM221" i="9"/>
  <c r="AN221" i="9"/>
  <c r="AX221" i="9"/>
  <c r="AW221" i="9"/>
  <c r="AW159" i="9"/>
  <c r="AX159" i="9"/>
  <c r="AM159" i="9"/>
  <c r="AN159" i="9"/>
  <c r="BR159" i="9"/>
  <c r="BQ159" i="9"/>
  <c r="BG159" i="9"/>
  <c r="BH159" i="9"/>
  <c r="BH98" i="9"/>
  <c r="BG98" i="9"/>
  <c r="BR98" i="9"/>
  <c r="BQ98" i="9"/>
  <c r="AW98" i="9"/>
  <c r="AX98" i="9"/>
  <c r="AM98" i="9"/>
  <c r="AN98" i="9"/>
  <c r="AW162" i="9"/>
  <c r="AX162" i="9"/>
  <c r="BQ162" i="9"/>
  <c r="BR162" i="9"/>
  <c r="BG162" i="9"/>
  <c r="BH162" i="9"/>
  <c r="AN162" i="9"/>
  <c r="AM162" i="9"/>
  <c r="AW224" i="9"/>
  <c r="AX224" i="9"/>
  <c r="BR224" i="9"/>
  <c r="BQ224" i="9"/>
  <c r="AM224" i="9"/>
  <c r="AN224" i="9"/>
  <c r="BH224" i="9"/>
  <c r="BG224" i="9"/>
  <c r="Z34" i="10" l="1"/>
  <c r="B13" i="19"/>
  <c r="E120" i="5"/>
  <c r="B13" i="16"/>
  <c r="C121" i="5"/>
  <c r="AE24" i="5"/>
  <c r="AF25" i="5"/>
  <c r="B121" i="5" s="1"/>
  <c r="AA34" i="10"/>
  <c r="C13" i="16"/>
  <c r="C13" i="19"/>
  <c r="C123" i="19" s="1"/>
  <c r="D12" i="16"/>
  <c r="I119" i="5"/>
  <c r="AB35" i="10"/>
  <c r="L119" i="5"/>
  <c r="G12" i="19" s="1"/>
  <c r="G122" i="19" s="1"/>
  <c r="E12" i="19"/>
  <c r="B122" i="19"/>
  <c r="E122" i="19" s="1"/>
  <c r="L11" i="16"/>
  <c r="V11" i="16" s="1"/>
  <c r="V57" i="16"/>
  <c r="CB233" i="9"/>
  <c r="CE218" i="9"/>
  <c r="CD229" i="9"/>
  <c r="N16" i="17"/>
  <c r="W16" i="17"/>
  <c r="N20" i="17"/>
  <c r="W20" i="17"/>
  <c r="N15" i="17"/>
  <c r="W15" i="17"/>
  <c r="N18" i="17"/>
  <c r="W18" i="17"/>
  <c r="N17" i="17"/>
  <c r="W17" i="17"/>
  <c r="N21" i="17"/>
  <c r="W21" i="17"/>
  <c r="N19" i="17"/>
  <c r="W19" i="17"/>
  <c r="W14" i="17"/>
  <c r="N14" i="17"/>
  <c r="V14" i="17"/>
  <c r="U14" i="17"/>
  <c r="T14" i="17"/>
  <c r="S14" i="17"/>
  <c r="M14" i="17"/>
  <c r="J14" i="17"/>
  <c r="L14" i="17"/>
  <c r="K14" i="17"/>
  <c r="W23" i="17"/>
  <c r="N23" i="17"/>
  <c r="N22" i="17"/>
  <c r="W22" i="17"/>
  <c r="W45" i="17"/>
  <c r="N45" i="17"/>
  <c r="W31" i="17"/>
  <c r="N31" i="17"/>
  <c r="N42" i="17"/>
  <c r="W42" i="17"/>
  <c r="N41" i="17"/>
  <c r="W41" i="17"/>
  <c r="W24" i="17"/>
  <c r="N24" i="17"/>
  <c r="W38" i="17"/>
  <c r="N38" i="17"/>
  <c r="W26" i="17"/>
  <c r="N26" i="17"/>
  <c r="W32" i="17"/>
  <c r="N32" i="17"/>
  <c r="W29" i="17"/>
  <c r="N29" i="17"/>
  <c r="N34" i="17"/>
  <c r="W34" i="17"/>
  <c r="W43" i="17"/>
  <c r="N43" i="17"/>
  <c r="N36" i="17"/>
  <c r="W36" i="17"/>
  <c r="N28" i="17"/>
  <c r="W28" i="17"/>
  <c r="W44" i="17"/>
  <c r="N44" i="17"/>
  <c r="W40" i="17"/>
  <c r="N40" i="17"/>
  <c r="N35" i="17"/>
  <c r="W35" i="17"/>
  <c r="N39" i="17"/>
  <c r="W39" i="17"/>
  <c r="N33" i="17"/>
  <c r="W33" i="17"/>
  <c r="N46" i="17"/>
  <c r="W46" i="17"/>
  <c r="N25" i="17"/>
  <c r="W25" i="17"/>
  <c r="W47" i="17"/>
  <c r="N47" i="17"/>
  <c r="W27" i="17"/>
  <c r="N27" i="17"/>
  <c r="N37" i="17"/>
  <c r="W37" i="17"/>
  <c r="N30" i="17"/>
  <c r="W30" i="17"/>
  <c r="CB170" i="9"/>
  <c r="CC168" i="9"/>
  <c r="CF153" i="9"/>
  <c r="CF167" i="9" s="1"/>
  <c r="CF168" i="9" s="1"/>
  <c r="CB176" i="9" s="1"/>
  <c r="CG153" i="9"/>
  <c r="CG167" i="9" s="1"/>
  <c r="CG168" i="9" s="1"/>
  <c r="CB173" i="9" s="1"/>
  <c r="CE167" i="9"/>
  <c r="CE168" i="9" s="1"/>
  <c r="CB174" i="9" s="1"/>
  <c r="CB177" i="9" s="1"/>
  <c r="CB175" i="9"/>
  <c r="AS171" i="9"/>
  <c r="AV153" i="9"/>
  <c r="AU167" i="9"/>
  <c r="BM171" i="9"/>
  <c r="BP153" i="9"/>
  <c r="BO167" i="9"/>
  <c r="BC171" i="9"/>
  <c r="BF153" i="9"/>
  <c r="BE167" i="9"/>
  <c r="AI170" i="9"/>
  <c r="AJ168" i="9"/>
  <c r="AN153" i="9"/>
  <c r="AN167" i="9" s="1"/>
  <c r="AN168" i="9" s="1"/>
  <c r="AI173" i="9" s="1"/>
  <c r="AM153" i="9"/>
  <c r="AM167" i="9" s="1"/>
  <c r="AM168" i="9" s="1"/>
  <c r="AI176" i="9" s="1"/>
  <c r="AL167" i="9"/>
  <c r="AL168" i="9" s="1"/>
  <c r="AI174" i="9" s="1"/>
  <c r="AI177" i="9" s="1"/>
  <c r="AI175" i="9"/>
  <c r="BM233" i="9"/>
  <c r="BP215" i="9"/>
  <c r="BO229" i="9"/>
  <c r="AM229" i="9"/>
  <c r="AM230" i="9" s="1"/>
  <c r="AI238" i="9" s="1"/>
  <c r="AN229" i="9"/>
  <c r="AN230" i="9" s="1"/>
  <c r="AI235" i="9" s="1"/>
  <c r="AI240" i="9" s="1"/>
  <c r="AI241" i="9" s="1"/>
  <c r="AI242" i="9" s="1"/>
  <c r="CB108" i="9"/>
  <c r="CC106" i="9"/>
  <c r="CF92" i="9"/>
  <c r="CF105" i="9" s="1"/>
  <c r="CF106" i="9" s="1"/>
  <c r="CB114" i="9" s="1"/>
  <c r="CG92" i="9"/>
  <c r="CG105" i="9" s="1"/>
  <c r="CG106" i="9" s="1"/>
  <c r="CB111" i="9" s="1"/>
  <c r="CE105" i="9"/>
  <c r="CE106" i="9" s="1"/>
  <c r="CB112" i="9" s="1"/>
  <c r="CB115" i="9" s="1"/>
  <c r="CB113" i="9"/>
  <c r="AS109" i="9"/>
  <c r="AV92" i="9"/>
  <c r="AU105" i="9"/>
  <c r="AI108" i="9"/>
  <c r="AJ106" i="9"/>
  <c r="AM92" i="9"/>
  <c r="AM105" i="9" s="1"/>
  <c r="AM106" i="9" s="1"/>
  <c r="AI114" i="9" s="1"/>
  <c r="AN92" i="9"/>
  <c r="AN105" i="9" s="1"/>
  <c r="AN106" i="9" s="1"/>
  <c r="AI111" i="9" s="1"/>
  <c r="AL105" i="9"/>
  <c r="AL106" i="9" s="1"/>
  <c r="AI112" i="9" s="1"/>
  <c r="AI115" i="9" s="1"/>
  <c r="AI113" i="9"/>
  <c r="BC109" i="9"/>
  <c r="BF92" i="9"/>
  <c r="BE105" i="9"/>
  <c r="BM109" i="9"/>
  <c r="BP92" i="9"/>
  <c r="BO105" i="9"/>
  <c r="BM46" i="9"/>
  <c r="BN44" i="9"/>
  <c r="BR30" i="9"/>
  <c r="BR43" i="9" s="1"/>
  <c r="BR44" i="9" s="1"/>
  <c r="BM49" i="9" s="1"/>
  <c r="BQ30" i="9"/>
  <c r="BQ43" i="9" s="1"/>
  <c r="BQ44" i="9" s="1"/>
  <c r="BM52" i="9" s="1"/>
  <c r="BP43" i="9"/>
  <c r="BP44" i="9" s="1"/>
  <c r="BM50" i="9" s="1"/>
  <c r="BM53" i="9" s="1"/>
  <c r="BM51" i="9"/>
  <c r="BC46" i="9"/>
  <c r="BD44" i="9"/>
  <c r="BG30" i="9"/>
  <c r="BG43" i="9" s="1"/>
  <c r="BG44" i="9" s="1"/>
  <c r="BC52" i="9" s="1"/>
  <c r="BH30" i="9"/>
  <c r="BH43" i="9" s="1"/>
  <c r="BH44" i="9" s="1"/>
  <c r="BC49" i="9" s="1"/>
  <c r="BF43" i="9"/>
  <c r="BF44" i="9" s="1"/>
  <c r="BC50" i="9" s="1"/>
  <c r="BC53" i="9" s="1"/>
  <c r="BC51" i="9"/>
  <c r="CB46" i="9"/>
  <c r="CC44" i="9"/>
  <c r="CG30" i="9"/>
  <c r="CG43" i="9" s="1"/>
  <c r="CG44" i="9" s="1"/>
  <c r="CB49" i="9" s="1"/>
  <c r="CF30" i="9"/>
  <c r="CF43" i="9" s="1"/>
  <c r="CF44" i="9" s="1"/>
  <c r="CB52" i="9" s="1"/>
  <c r="CE43" i="9"/>
  <c r="CE44" i="9" s="1"/>
  <c r="CB50" i="9" s="1"/>
  <c r="CB53" i="9" s="1"/>
  <c r="CB51" i="9"/>
  <c r="AI46" i="9"/>
  <c r="AJ44" i="9"/>
  <c r="AM30" i="9"/>
  <c r="AM43" i="9" s="1"/>
  <c r="AM44" i="9" s="1"/>
  <c r="AI52" i="9" s="1"/>
  <c r="AN30" i="9"/>
  <c r="AN43" i="9" s="1"/>
  <c r="AN44" i="9" s="1"/>
  <c r="AI49" i="9" s="1"/>
  <c r="AL43" i="9"/>
  <c r="AL44" i="9" s="1"/>
  <c r="AI50" i="9" s="1"/>
  <c r="AI53" i="9" s="1"/>
  <c r="AI51" i="9"/>
  <c r="AS46" i="9"/>
  <c r="AT44" i="9"/>
  <c r="AX30" i="9"/>
  <c r="AX43" i="9" s="1"/>
  <c r="AX44" i="9" s="1"/>
  <c r="AS49" i="9" s="1"/>
  <c r="AW30" i="9"/>
  <c r="AW43" i="9" s="1"/>
  <c r="AW44" i="9" s="1"/>
  <c r="AS52" i="9" s="1"/>
  <c r="AV43" i="9"/>
  <c r="AV44" i="9" s="1"/>
  <c r="AS50" i="9" s="1"/>
  <c r="AS53" i="9" s="1"/>
  <c r="AS51" i="9"/>
  <c r="BH119" i="18"/>
  <c r="BN105" i="18" s="1"/>
  <c r="BO105" i="18" s="1"/>
  <c r="BN71" i="18"/>
  <c r="BO71" i="18" s="1"/>
  <c r="BN95" i="18"/>
  <c r="BO95" i="18" s="1"/>
  <c r="BN82" i="18"/>
  <c r="BO82" i="18" s="1"/>
  <c r="BN100" i="18"/>
  <c r="BO100" i="18" s="1"/>
  <c r="BN87" i="18"/>
  <c r="BO87" i="18" s="1"/>
  <c r="BN84" i="18"/>
  <c r="BO84" i="18" s="1"/>
  <c r="BN76" i="18"/>
  <c r="BO76" i="18" s="1"/>
  <c r="BN74" i="18"/>
  <c r="BO74" i="18" s="1"/>
  <c r="BN91" i="18"/>
  <c r="BO91" i="18" s="1"/>
  <c r="BN102" i="18"/>
  <c r="BO102" i="18" s="1"/>
  <c r="BN85" i="18"/>
  <c r="BO85" i="18" s="1"/>
  <c r="BN77" i="18"/>
  <c r="BO77" i="18" s="1"/>
  <c r="BH120" i="18"/>
  <c r="BH121" i="18" s="1"/>
  <c r="BN93" i="18"/>
  <c r="BO93" i="18" s="1"/>
  <c r="BN103" i="18"/>
  <c r="BO103" i="18" s="1"/>
  <c r="BN89" i="18"/>
  <c r="BO89" i="18" s="1"/>
  <c r="BN73" i="18"/>
  <c r="BO73" i="18" s="1"/>
  <c r="BN78" i="18"/>
  <c r="BO78" i="18" s="1"/>
  <c r="BN97" i="18"/>
  <c r="BO97" i="18" s="1"/>
  <c r="BN92" i="18"/>
  <c r="BO92" i="18" s="1"/>
  <c r="BN90" i="18"/>
  <c r="BO90" i="18" s="1"/>
  <c r="BN99" i="18"/>
  <c r="BO99" i="18" s="1"/>
  <c r="BN101" i="18"/>
  <c r="BO101" i="18" s="1"/>
  <c r="BN72" i="18"/>
  <c r="BO72" i="18" s="1"/>
  <c r="BN83" i="18"/>
  <c r="BO83" i="18" s="1"/>
  <c r="BN94" i="18"/>
  <c r="BO94" i="18" s="1"/>
  <c r="BN96" i="18"/>
  <c r="BO96" i="18" s="1"/>
  <c r="BN80" i="18"/>
  <c r="BO80" i="18" s="1"/>
  <c r="BN98" i="18"/>
  <c r="BO98" i="18" s="1"/>
  <c r="BN86" i="18"/>
  <c r="BO86" i="18" s="1"/>
  <c r="BN79" i="18"/>
  <c r="BO79" i="18" s="1"/>
  <c r="BN81" i="18"/>
  <c r="BO81" i="18" s="1"/>
  <c r="BN104" i="18"/>
  <c r="BO104" i="18" s="1"/>
  <c r="BN106" i="18"/>
  <c r="BO106" i="18" s="1"/>
  <c r="BN88" i="18"/>
  <c r="BO88" i="18" s="1"/>
  <c r="BN75" i="18"/>
  <c r="BO75" i="18" s="1"/>
  <c r="BW107" i="18"/>
  <c r="BW108" i="18" s="1"/>
  <c r="BR113" i="18" s="1"/>
  <c r="BV107" i="18"/>
  <c r="BV108" i="18" s="1"/>
  <c r="BR116" i="18" s="1"/>
  <c r="CB110" i="18"/>
  <c r="CC108" i="18"/>
  <c r="CF94" i="18"/>
  <c r="CF107" i="18" s="1"/>
  <c r="CF108" i="18" s="1"/>
  <c r="CB116" i="18" s="1"/>
  <c r="CG94" i="18"/>
  <c r="CG107" i="18" s="1"/>
  <c r="CG108" i="18" s="1"/>
  <c r="CB113" i="18" s="1"/>
  <c r="CE107" i="18"/>
  <c r="CE108" i="18" s="1"/>
  <c r="CB114" i="18" s="1"/>
  <c r="CB117" i="18" s="1"/>
  <c r="CB115" i="18"/>
  <c r="AU119" i="18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D88" i="18"/>
  <c r="BE88" i="18" s="1"/>
  <c r="BD105" i="18"/>
  <c r="BE105" i="18" s="1"/>
  <c r="BD75" i="18"/>
  <c r="BE75" i="18" s="1"/>
  <c r="BD73" i="18"/>
  <c r="BE73" i="18" s="1"/>
  <c r="BD86" i="18"/>
  <c r="BE86" i="18" s="1"/>
  <c r="BD78" i="18"/>
  <c r="BE78" i="18" s="1"/>
  <c r="BD94" i="18"/>
  <c r="BE94" i="18" s="1"/>
  <c r="BD99" i="18"/>
  <c r="BE99" i="18" s="1"/>
  <c r="BD72" i="18"/>
  <c r="BE72" i="18" s="1"/>
  <c r="BD83" i="18"/>
  <c r="BE83" i="18" s="1"/>
  <c r="AX120" i="18"/>
  <c r="BD90" i="18"/>
  <c r="BE90" i="18" s="1"/>
  <c r="BD84" i="18"/>
  <c r="BE84" i="18" s="1"/>
  <c r="BD102" i="18"/>
  <c r="BE102" i="18" s="1"/>
  <c r="Y240" i="9"/>
  <c r="Y241" i="9" s="1"/>
  <c r="Y242" i="9" s="1"/>
  <c r="Y243" i="9" s="1"/>
  <c r="V116" i="9"/>
  <c r="Y117" i="9"/>
  <c r="BC232" i="9"/>
  <c r="BD230" i="9"/>
  <c r="BG214" i="9"/>
  <c r="BG229" i="9" s="1"/>
  <c r="BG230" i="9" s="1"/>
  <c r="BC238" i="9" s="1"/>
  <c r="BH214" i="9"/>
  <c r="BH229" i="9" s="1"/>
  <c r="BH230" i="9" s="1"/>
  <c r="BC235" i="9" s="1"/>
  <c r="BF229" i="9"/>
  <c r="BF230" i="9" s="1"/>
  <c r="BC236" i="9" s="1"/>
  <c r="BC239" i="9" s="1"/>
  <c r="BC237" i="9"/>
  <c r="AS232" i="9"/>
  <c r="AT230" i="9"/>
  <c r="AX214" i="9"/>
  <c r="AX229" i="9" s="1"/>
  <c r="AX230" i="9" s="1"/>
  <c r="AS235" i="9" s="1"/>
  <c r="AW214" i="9"/>
  <c r="AW229" i="9" s="1"/>
  <c r="AW230" i="9" s="1"/>
  <c r="AS238" i="9" s="1"/>
  <c r="AV229" i="9"/>
  <c r="AV230" i="9" s="1"/>
  <c r="AS236" i="9" s="1"/>
  <c r="AS239" i="9" s="1"/>
  <c r="AS237" i="9"/>
  <c r="AS240" i="9" l="1"/>
  <c r="AS241" i="9" s="1"/>
  <c r="AS242" i="9" s="1"/>
  <c r="BC240" i="9"/>
  <c r="BC241" i="9" s="1"/>
  <c r="BC242" i="9" s="1"/>
  <c r="V117" i="9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AE95" i="9"/>
  <c r="AF95" i="9" s="1"/>
  <c r="F35" i="12" s="1"/>
  <c r="G35" i="12" s="1"/>
  <c r="AF13" i="12" s="1"/>
  <c r="AE202" i="9"/>
  <c r="AF202" i="9" s="1"/>
  <c r="AE200" i="9"/>
  <c r="AF200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I13" i="12" s="1"/>
  <c r="AE194" i="9"/>
  <c r="AF194" i="9" s="1"/>
  <c r="AE217" i="9"/>
  <c r="AF217" i="9" s="1"/>
  <c r="AE220" i="9"/>
  <c r="AF220" i="9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AJ13" i="12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J21" i="12" s="1"/>
  <c r="AE226" i="9"/>
  <c r="AF226" i="9" s="1"/>
  <c r="AE213" i="9"/>
  <c r="AF213" i="9" s="1"/>
  <c r="AE219" i="9"/>
  <c r="AF219" i="9" s="1"/>
  <c r="AE73" i="9"/>
  <c r="AF73" i="9" s="1"/>
  <c r="F13" i="12" s="1"/>
  <c r="G13" i="12" s="1"/>
  <c r="AD15" i="12" s="1"/>
  <c r="AH12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AE77" i="9"/>
  <c r="AF77" i="9" s="1"/>
  <c r="F17" i="12" s="1"/>
  <c r="G17" i="12" s="1"/>
  <c r="AD19" i="12" s="1"/>
  <c r="Y118" i="9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H15" i="12" s="1"/>
  <c r="AE90" i="9"/>
  <c r="AF90" i="9" s="1"/>
  <c r="F30" i="12" s="1"/>
  <c r="G30" i="12" s="1"/>
  <c r="AE20" i="12" s="1"/>
  <c r="AI17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I20" i="12" s="1"/>
  <c r="AE96" i="9"/>
  <c r="AF96" i="9" s="1"/>
  <c r="F36" i="12" s="1"/>
  <c r="G36" i="12" s="1"/>
  <c r="AF14" i="12" s="1"/>
  <c r="AJ11" i="12" s="1"/>
  <c r="AE209" i="9"/>
  <c r="AF209" i="9" s="1"/>
  <c r="AE97" i="9"/>
  <c r="AF97" i="9" s="1"/>
  <c r="F37" i="12" s="1"/>
  <c r="G37" i="12" s="1"/>
  <c r="AF15" i="12" s="1"/>
  <c r="AJ12" i="12" s="1"/>
  <c r="AE71" i="9"/>
  <c r="AF71" i="9" s="1"/>
  <c r="F11" i="12" s="1"/>
  <c r="G11" i="12" s="1"/>
  <c r="AD13" i="12" s="1"/>
  <c r="AH22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AE193" i="9"/>
  <c r="AF193" i="9" s="1"/>
  <c r="AE222" i="9"/>
  <c r="AF222" i="9" s="1"/>
  <c r="AE74" i="9"/>
  <c r="AF74" i="9" s="1"/>
  <c r="F14" i="12" s="1"/>
  <c r="G14" i="12" s="1"/>
  <c r="AD16" i="12" s="1"/>
  <c r="AH13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AE206" i="9"/>
  <c r="AF206" i="9" s="1"/>
  <c r="AE207" i="9"/>
  <c r="AF207" i="9" s="1"/>
  <c r="AE72" i="9"/>
  <c r="AF72" i="9" s="1"/>
  <c r="F12" i="12" s="1"/>
  <c r="G12" i="12" s="1"/>
  <c r="AD14" i="12" s="1"/>
  <c r="AH11" i="12" s="1"/>
  <c r="AE91" i="9"/>
  <c r="AF91" i="9" s="1"/>
  <c r="F31" i="12" s="1"/>
  <c r="G31" i="12" s="1"/>
  <c r="AE21" i="12" s="1"/>
  <c r="AI18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AU120" i="18"/>
  <c r="AX121" i="18"/>
  <c r="AU121" i="18" s="1"/>
  <c r="CB118" i="18"/>
  <c r="BR118" i="18"/>
  <c r="AS54" i="9"/>
  <c r="A19" i="9"/>
  <c r="A12" i="9"/>
  <c r="D19" i="9"/>
  <c r="AI54" i="9"/>
  <c r="CB54" i="9"/>
  <c r="BC54" i="9"/>
  <c r="A20" i="9"/>
  <c r="A13" i="9"/>
  <c r="D20" i="9"/>
  <c r="BM54" i="9"/>
  <c r="A21" i="9"/>
  <c r="D21" i="9"/>
  <c r="A14" i="9"/>
  <c r="BM108" i="9"/>
  <c r="BN106" i="9"/>
  <c r="BQ92" i="9"/>
  <c r="BQ105" i="9" s="1"/>
  <c r="BQ106" i="9" s="1"/>
  <c r="BM114" i="9" s="1"/>
  <c r="BR92" i="9"/>
  <c r="BR105" i="9" s="1"/>
  <c r="BR106" i="9" s="1"/>
  <c r="BM111" i="9" s="1"/>
  <c r="BP105" i="9"/>
  <c r="BP106" i="9" s="1"/>
  <c r="BM112" i="9" s="1"/>
  <c r="BM115" i="9" s="1"/>
  <c r="BM113" i="9"/>
  <c r="BC108" i="9"/>
  <c r="BD106" i="9"/>
  <c r="BG92" i="9"/>
  <c r="BG105" i="9" s="1"/>
  <c r="BG106" i="9" s="1"/>
  <c r="BC114" i="9" s="1"/>
  <c r="BH92" i="9"/>
  <c r="BH105" i="9" s="1"/>
  <c r="BH106" i="9" s="1"/>
  <c r="BC111" i="9" s="1"/>
  <c r="BF105" i="9"/>
  <c r="BF106" i="9" s="1"/>
  <c r="BC112" i="9" s="1"/>
  <c r="BC115" i="9" s="1"/>
  <c r="BC113" i="9"/>
  <c r="AI116" i="9"/>
  <c r="AS108" i="9"/>
  <c r="AT106" i="9"/>
  <c r="AW92" i="9"/>
  <c r="AW105" i="9" s="1"/>
  <c r="AW106" i="9" s="1"/>
  <c r="AS114" i="9" s="1"/>
  <c r="AX92" i="9"/>
  <c r="AX105" i="9" s="1"/>
  <c r="AX106" i="9" s="1"/>
  <c r="AS111" i="9" s="1"/>
  <c r="AV105" i="9"/>
  <c r="AV106" i="9" s="1"/>
  <c r="AS112" i="9" s="1"/>
  <c r="AS115" i="9" s="1"/>
  <c r="AS113" i="9"/>
  <c r="CB116" i="9"/>
  <c r="H11" i="9"/>
  <c r="AI243" i="9"/>
  <c r="BM232" i="9"/>
  <c r="BN230" i="9"/>
  <c r="BR215" i="9"/>
  <c r="BR229" i="9" s="1"/>
  <c r="BR230" i="9" s="1"/>
  <c r="BM235" i="9" s="1"/>
  <c r="BQ215" i="9"/>
  <c r="BQ229" i="9" s="1"/>
  <c r="BQ230" i="9" s="1"/>
  <c r="BM238" i="9" s="1"/>
  <c r="BP229" i="9"/>
  <c r="BP230" i="9" s="1"/>
  <c r="BM236" i="9" s="1"/>
  <c r="BM239" i="9" s="1"/>
  <c r="BM237" i="9"/>
  <c r="AI178" i="9"/>
  <c r="BC170" i="9"/>
  <c r="BD168" i="9"/>
  <c r="BH153" i="9"/>
  <c r="BH167" i="9" s="1"/>
  <c r="BH168" i="9" s="1"/>
  <c r="BC173" i="9" s="1"/>
  <c r="BG153" i="9"/>
  <c r="BG167" i="9" s="1"/>
  <c r="BG168" i="9" s="1"/>
  <c r="BC176" i="9" s="1"/>
  <c r="BF167" i="9"/>
  <c r="BF168" i="9" s="1"/>
  <c r="BC174" i="9" s="1"/>
  <c r="BC177" i="9" s="1"/>
  <c r="BC175" i="9"/>
  <c r="BM170" i="9"/>
  <c r="BN168" i="9"/>
  <c r="BR153" i="9"/>
  <c r="BR167" i="9" s="1"/>
  <c r="BR168" i="9" s="1"/>
  <c r="BM173" i="9" s="1"/>
  <c r="BQ153" i="9"/>
  <c r="BQ167" i="9" s="1"/>
  <c r="BQ168" i="9" s="1"/>
  <c r="BM176" i="9" s="1"/>
  <c r="BP167" i="9"/>
  <c r="BP168" i="9" s="1"/>
  <c r="BM174" i="9" s="1"/>
  <c r="BM177" i="9" s="1"/>
  <c r="BM175" i="9"/>
  <c r="AS170" i="9"/>
  <c r="AT168" i="9"/>
  <c r="AX153" i="9"/>
  <c r="AX167" i="9" s="1"/>
  <c r="AX168" i="9" s="1"/>
  <c r="AS173" i="9" s="1"/>
  <c r="AW153" i="9"/>
  <c r="AW167" i="9" s="1"/>
  <c r="AW168" i="9" s="1"/>
  <c r="AS176" i="9" s="1"/>
  <c r="AV167" i="9"/>
  <c r="AV168" i="9" s="1"/>
  <c r="AS174" i="9" s="1"/>
  <c r="AS177" i="9" s="1"/>
  <c r="AS175" i="9"/>
  <c r="CB178" i="9"/>
  <c r="S15" i="17"/>
  <c r="T15" i="17"/>
  <c r="Z14" i="17"/>
  <c r="U15" i="17"/>
  <c r="AA14" i="17"/>
  <c r="V15" i="17"/>
  <c r="AB14" i="17"/>
  <c r="W49" i="17"/>
  <c r="N49" i="17" s="1"/>
  <c r="AC19" i="17"/>
  <c r="AC21" i="17"/>
  <c r="AC17" i="17"/>
  <c r="AC18" i="17"/>
  <c r="AC15" i="17"/>
  <c r="AC20" i="17"/>
  <c r="AC16" i="17"/>
  <c r="CB232" i="9"/>
  <c r="CC230" i="9"/>
  <c r="CF218" i="9"/>
  <c r="CF229" i="9" s="1"/>
  <c r="CF230" i="9" s="1"/>
  <c r="CB238" i="9" s="1"/>
  <c r="CG218" i="9"/>
  <c r="CG229" i="9" s="1"/>
  <c r="CG230" i="9" s="1"/>
  <c r="CB235" i="9" s="1"/>
  <c r="CE229" i="9"/>
  <c r="CE230" i="9" s="1"/>
  <c r="CB236" i="9" s="1"/>
  <c r="CB239" i="9" s="1"/>
  <c r="CB237" i="9"/>
  <c r="AA11" i="16"/>
  <c r="X11" i="16"/>
  <c r="W11" i="16"/>
  <c r="L12" i="16"/>
  <c r="V12" i="16" s="1"/>
  <c r="V58" i="16"/>
  <c r="Z33" i="10"/>
  <c r="E121" i="5"/>
  <c r="B14" i="19"/>
  <c r="B14" i="16"/>
  <c r="C122" i="5"/>
  <c r="AE23" i="5"/>
  <c r="AF24" i="5"/>
  <c r="B122" i="5" s="1"/>
  <c r="AA33" i="10"/>
  <c r="C14" i="19"/>
  <c r="C124" i="19" s="1"/>
  <c r="C14" i="16"/>
  <c r="D13" i="16"/>
  <c r="I120" i="5"/>
  <c r="AB34" i="10"/>
  <c r="L120" i="5"/>
  <c r="G13" i="19" s="1"/>
  <c r="G123" i="19" s="1"/>
  <c r="B123" i="19"/>
  <c r="E123" i="19" s="1"/>
  <c r="E13" i="19"/>
  <c r="AJ20" i="12" l="1"/>
  <c r="AI14" i="12"/>
  <c r="AJ22" i="12"/>
  <c r="AI22" i="12"/>
  <c r="AJ14" i="12"/>
  <c r="AJ17" i="12"/>
  <c r="AI21" i="12"/>
  <c r="AI12" i="12"/>
  <c r="AJ16" i="12"/>
  <c r="AJ19" i="12"/>
  <c r="AH16" i="12"/>
  <c r="AH14" i="12"/>
  <c r="AI15" i="12"/>
  <c r="AH17" i="12"/>
  <c r="AH18" i="12"/>
  <c r="AJ15" i="12"/>
  <c r="AJ18" i="12"/>
  <c r="AI16" i="12"/>
  <c r="AH21" i="12"/>
  <c r="AH20" i="12"/>
  <c r="AI19" i="12"/>
  <c r="AH19" i="12"/>
  <c r="AI11" i="12"/>
  <c r="V59" i="16"/>
  <c r="L13" i="16"/>
  <c r="V13" i="16" s="1"/>
  <c r="Z32" i="10"/>
  <c r="B15" i="19"/>
  <c r="E122" i="5"/>
  <c r="B15" i="16"/>
  <c r="C123" i="5"/>
  <c r="AE22" i="5"/>
  <c r="AF23" i="5"/>
  <c r="B123" i="5" s="1"/>
  <c r="AA32" i="10"/>
  <c r="C15" i="16"/>
  <c r="C15" i="19"/>
  <c r="C125" i="19" s="1"/>
  <c r="D14" i="16"/>
  <c r="B124" i="19"/>
  <c r="E124" i="19" s="1"/>
  <c r="E14" i="19"/>
  <c r="I121" i="5"/>
  <c r="AB33" i="10"/>
  <c r="L121" i="5"/>
  <c r="G14" i="19" s="1"/>
  <c r="G124" i="19" s="1"/>
  <c r="X12" i="16"/>
  <c r="AA12" i="16"/>
  <c r="W12" i="16"/>
  <c r="CB240" i="9"/>
  <c r="CB241" i="9" s="1"/>
  <c r="CB242" i="9" s="1"/>
  <c r="AC12" i="17"/>
  <c r="AC30" i="17"/>
  <c r="AC37" i="17"/>
  <c r="AC27" i="17"/>
  <c r="AC47" i="17"/>
  <c r="AC25" i="17"/>
  <c r="AC46" i="17"/>
  <c r="AC33" i="17"/>
  <c r="AC39" i="17"/>
  <c r="AC35" i="17"/>
  <c r="AC40" i="17"/>
  <c r="AC44" i="17"/>
  <c r="AC28" i="17"/>
  <c r="AC36" i="17"/>
  <c r="AC43" i="17"/>
  <c r="AC34" i="17"/>
  <c r="AC29" i="17"/>
  <c r="AC32" i="17"/>
  <c r="AC26" i="17"/>
  <c r="AC38" i="17"/>
  <c r="AC24" i="17"/>
  <c r="AC41" i="17"/>
  <c r="AC42" i="17"/>
  <c r="AC31" i="17"/>
  <c r="AC45" i="17"/>
  <c r="AC22" i="17"/>
  <c r="AC23" i="17"/>
  <c r="AC14" i="17"/>
  <c r="AB15" i="17"/>
  <c r="M15" i="17"/>
  <c r="V16" i="17"/>
  <c r="AA15" i="17"/>
  <c r="L15" i="17"/>
  <c r="U16" i="17"/>
  <c r="Z15" i="17"/>
  <c r="K15" i="17"/>
  <c r="J15" i="17"/>
  <c r="S16" i="17"/>
  <c r="T16" i="17"/>
  <c r="CB179" i="9"/>
  <c r="CB180" i="9"/>
  <c r="AS178" i="9"/>
  <c r="AS179" i="9" s="1"/>
  <c r="AS180" i="9" s="1"/>
  <c r="BM178" i="9"/>
  <c r="BM179" i="9" s="1"/>
  <c r="BM180" i="9" s="1"/>
  <c r="BC178" i="9"/>
  <c r="BC179" i="9" s="1"/>
  <c r="BC180" i="9" s="1"/>
  <c r="AI179" i="9"/>
  <c r="AI180" i="9"/>
  <c r="BM240" i="9"/>
  <c r="P52" i="14"/>
  <c r="Q45" i="7"/>
  <c r="AK45" i="7" s="1"/>
  <c r="P107" i="14"/>
  <c r="P107" i="19"/>
  <c r="P161" i="14"/>
  <c r="P217" i="19"/>
  <c r="P217" i="14"/>
  <c r="CB117" i="9"/>
  <c r="AS116" i="9"/>
  <c r="AI117" i="9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BC116" i="9"/>
  <c r="BM116" i="9"/>
  <c r="I48" i="7"/>
  <c r="AC48" i="7"/>
  <c r="A39" i="13" s="1"/>
  <c r="J110" i="14"/>
  <c r="J220" i="19"/>
  <c r="J220" i="14"/>
  <c r="J110" i="19"/>
  <c r="J55" i="14"/>
  <c r="J164" i="14"/>
  <c r="BM55" i="9"/>
  <c r="BS32" i="9"/>
  <c r="BT32" i="9" s="1"/>
  <c r="BS12" i="9"/>
  <c r="BT12" i="9" s="1"/>
  <c r="BS141" i="9"/>
  <c r="BT141" i="9" s="1"/>
  <c r="BS14" i="9"/>
  <c r="BT14" i="9" s="1"/>
  <c r="BS151" i="9"/>
  <c r="BT151" i="9" s="1"/>
  <c r="BS158" i="9"/>
  <c r="BT158" i="9" s="1"/>
  <c r="BS7" i="9"/>
  <c r="BT7" i="9" s="1"/>
  <c r="BS136" i="9"/>
  <c r="BT136" i="9" s="1"/>
  <c r="BS161" i="9"/>
  <c r="BT161" i="9" s="1"/>
  <c r="BS35" i="9"/>
  <c r="BT35" i="9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BS31" i="9"/>
  <c r="BT31" i="9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BS33" i="9"/>
  <c r="BT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BS36" i="9"/>
  <c r="BT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BM56" i="9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BS143" i="9"/>
  <c r="BT143" i="9" s="1"/>
  <c r="BS156" i="9"/>
  <c r="BT156" i="9" s="1"/>
  <c r="BS150" i="9"/>
  <c r="BT150" i="9" s="1"/>
  <c r="BS39" i="9"/>
  <c r="BT39" i="9" s="1"/>
  <c r="BS154" i="9"/>
  <c r="BT154" i="9" s="1"/>
  <c r="BS34" i="9"/>
  <c r="BT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BS37" i="9"/>
  <c r="BT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J163" i="14"/>
  <c r="J109" i="14"/>
  <c r="J54" i="14"/>
  <c r="J109" i="19"/>
  <c r="J219" i="19"/>
  <c r="J219" i="14"/>
  <c r="I47" i="7"/>
  <c r="C39" i="4"/>
  <c r="AC47" i="7"/>
  <c r="A38" i="13" s="1"/>
  <c r="J116" i="10"/>
  <c r="J170" i="10" s="1"/>
  <c r="U55" i="19"/>
  <c r="BC55" i="9"/>
  <c r="BI26" i="9"/>
  <c r="BJ26" i="9" s="1"/>
  <c r="BI150" i="9"/>
  <c r="BJ150" i="9" s="1"/>
  <c r="BI152" i="9"/>
  <c r="BJ152" i="9" s="1"/>
  <c r="BI12" i="9"/>
  <c r="BJ12" i="9" s="1"/>
  <c r="BI37" i="9"/>
  <c r="BJ37" i="9" s="1"/>
  <c r="BI35" i="9"/>
  <c r="BJ35" i="9" s="1"/>
  <c r="BI162" i="9"/>
  <c r="BJ162" i="9" s="1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I146" i="9"/>
  <c r="BJ146" i="9" s="1"/>
  <c r="BI36" i="9"/>
  <c r="BJ36" i="9" s="1"/>
  <c r="BI151" i="9"/>
  <c r="BJ151" i="9" s="1"/>
  <c r="BI144" i="9"/>
  <c r="BJ144" i="9" s="1"/>
  <c r="BI158" i="9"/>
  <c r="BJ158" i="9" s="1"/>
  <c r="BI41" i="9"/>
  <c r="BJ41" i="9" s="1"/>
  <c r="BI38" i="9"/>
  <c r="BJ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I42" i="9"/>
  <c r="BJ42" i="9" s="1"/>
  <c r="BI15" i="9"/>
  <c r="BJ15" i="9" s="1"/>
  <c r="BI7" i="9"/>
  <c r="BJ7" i="9" s="1"/>
  <c r="BI154" i="9"/>
  <c r="BJ154" i="9" s="1"/>
  <c r="BI10" i="9"/>
  <c r="BJ10" i="9" s="1"/>
  <c r="BI29" i="9"/>
  <c r="BJ29" i="9" s="1"/>
  <c r="BI34" i="9"/>
  <c r="BJ34" i="9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I138" i="9"/>
  <c r="BJ138" i="9" s="1"/>
  <c r="BI13" i="9"/>
  <c r="BJ13" i="9" s="1"/>
  <c r="BI137" i="9"/>
  <c r="BJ137" i="9" s="1"/>
  <c r="BI20" i="9"/>
  <c r="BJ20" i="9" s="1"/>
  <c r="BI31" i="9"/>
  <c r="BJ31" i="9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BI136" i="9"/>
  <c r="BJ136" i="9" s="1"/>
  <c r="BI19" i="9"/>
  <c r="BJ19" i="9" s="1"/>
  <c r="BI27" i="9"/>
  <c r="BJ27" i="9" s="1"/>
  <c r="BI18" i="9"/>
  <c r="BJ18" i="9" s="1"/>
  <c r="BI132" i="9"/>
  <c r="BJ132" i="9" s="1"/>
  <c r="CB55" i="9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AI55" i="9"/>
  <c r="J218" i="14"/>
  <c r="J53" i="14"/>
  <c r="J162" i="14"/>
  <c r="J218" i="19"/>
  <c r="J108" i="19"/>
  <c r="J108" i="14"/>
  <c r="C38" i="4"/>
  <c r="I46" i="7"/>
  <c r="AC46" i="7"/>
  <c r="A37" i="13" s="1"/>
  <c r="J115" i="10"/>
  <c r="J169" i="10" s="1"/>
  <c r="U54" i="19"/>
  <c r="AS55" i="9"/>
  <c r="AY136" i="9" s="1"/>
  <c r="AZ136" i="9" s="1"/>
  <c r="AY30" i="9"/>
  <c r="AZ30" i="9" s="1"/>
  <c r="AY39" i="9"/>
  <c r="AZ39" i="9" s="1"/>
  <c r="AY38" i="9"/>
  <c r="AZ38" i="9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AY31" i="9"/>
  <c r="AZ31" i="9" s="1"/>
  <c r="AY35" i="9"/>
  <c r="AZ35" i="9" s="1"/>
  <c r="AY34" i="9"/>
  <c r="AZ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Y133" i="9"/>
  <c r="AZ133" i="9" s="1"/>
  <c r="AY42" i="9"/>
  <c r="AZ42" i="9" s="1"/>
  <c r="AY23" i="9"/>
  <c r="AZ23" i="9" s="1"/>
  <c r="AY25" i="9"/>
  <c r="AZ25" i="9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AY21" i="9"/>
  <c r="AZ21" i="9" s="1"/>
  <c r="AY36" i="9"/>
  <c r="AZ36" i="9" s="1"/>
  <c r="AY32" i="9"/>
  <c r="AZ32" i="9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AY135" i="9"/>
  <c r="AZ135" i="9" s="1"/>
  <c r="AY40" i="9"/>
  <c r="AZ40" i="9" s="1"/>
  <c r="AY29" i="9"/>
  <c r="AZ29" i="9" s="1"/>
  <c r="AY22" i="9"/>
  <c r="AZ22" i="9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AY139" i="9"/>
  <c r="AZ139" i="9" s="1"/>
  <c r="AY19" i="9"/>
  <c r="AZ19" i="9" s="1"/>
  <c r="AY33" i="9"/>
  <c r="AZ33" i="9" s="1"/>
  <c r="AY37" i="9"/>
  <c r="AZ37" i="9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Y143" i="9"/>
  <c r="AZ143" i="9" s="1"/>
  <c r="AY147" i="9"/>
  <c r="AZ147" i="9" s="1"/>
  <c r="AY8" i="9"/>
  <c r="AZ8" i="9" s="1"/>
  <c r="AS56" i="9"/>
  <c r="AY26" i="9"/>
  <c r="AZ26" i="9" s="1"/>
  <c r="AY27" i="9"/>
  <c r="AZ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R119" i="18"/>
  <c r="CB119" i="18"/>
  <c r="L12" i="12"/>
  <c r="V12" i="12" s="1"/>
  <c r="AM14" i="12"/>
  <c r="AX14" i="12"/>
  <c r="K16" i="12"/>
  <c r="U16" i="12" s="1"/>
  <c r="AT18" i="12"/>
  <c r="AP11" i="12"/>
  <c r="J9" i="12"/>
  <c r="AL11" i="12"/>
  <c r="AY11" i="12"/>
  <c r="AQ11" i="12"/>
  <c r="AU11" i="12"/>
  <c r="K19" i="12"/>
  <c r="U19" i="12" s="1"/>
  <c r="AT21" i="12"/>
  <c r="AQ13" i="12"/>
  <c r="AP13" i="12"/>
  <c r="AU13" i="12"/>
  <c r="J11" i="12"/>
  <c r="AY13" i="12"/>
  <c r="AL13" i="12"/>
  <c r="K10" i="12"/>
  <c r="U10" i="12" s="1"/>
  <c r="AT12" i="12"/>
  <c r="AP22" i="12"/>
  <c r="J20" i="12"/>
  <c r="AU22" i="12"/>
  <c r="AL22" i="12"/>
  <c r="AY22" i="12"/>
  <c r="AQ22" i="12"/>
  <c r="AM12" i="12"/>
  <c r="L10" i="12"/>
  <c r="V10" i="12" s="1"/>
  <c r="AX12" i="12"/>
  <c r="AM11" i="12"/>
  <c r="L9" i="12"/>
  <c r="AX11" i="12"/>
  <c r="AT20" i="12"/>
  <c r="K18" i="12"/>
  <c r="U18" i="12" s="1"/>
  <c r="L14" i="12"/>
  <c r="V14" i="12" s="1"/>
  <c r="AX16" i="12"/>
  <c r="AM16" i="12"/>
  <c r="AT17" i="12"/>
  <c r="K15" i="12"/>
  <c r="U15" i="12" s="1"/>
  <c r="J13" i="12"/>
  <c r="AP15" i="12"/>
  <c r="AQ15" i="12"/>
  <c r="AL15" i="12"/>
  <c r="AU15" i="12"/>
  <c r="AY15" i="12"/>
  <c r="V118" i="9"/>
  <c r="Y119" i="9"/>
  <c r="V119" i="9" s="1"/>
  <c r="J14" i="12"/>
  <c r="AP16" i="12"/>
  <c r="AL16" i="12"/>
  <c r="AU16" i="12"/>
  <c r="AY16" i="12"/>
  <c r="AQ16" i="12"/>
  <c r="AM20" i="12"/>
  <c r="AX20" i="12"/>
  <c r="L18" i="12"/>
  <c r="V18" i="12" s="1"/>
  <c r="AP12" i="12"/>
  <c r="J10" i="12"/>
  <c r="AL12" i="12"/>
  <c r="AQ12" i="12"/>
  <c r="AU12" i="12"/>
  <c r="AY12" i="12"/>
  <c r="L19" i="12"/>
  <c r="V19" i="12" s="1"/>
  <c r="AM21" i="12"/>
  <c r="AX21" i="12"/>
  <c r="AP14" i="12"/>
  <c r="AU14" i="12"/>
  <c r="J12" i="12"/>
  <c r="AL14" i="12"/>
  <c r="AY14" i="12"/>
  <c r="AQ14" i="12"/>
  <c r="AX13" i="12"/>
  <c r="L11" i="12"/>
  <c r="V11" i="12" s="1"/>
  <c r="AM13" i="12"/>
  <c r="AT15" i="12"/>
  <c r="K13" i="12"/>
  <c r="U13" i="12" s="1"/>
  <c r="AP17" i="12"/>
  <c r="J15" i="12"/>
  <c r="AL17" i="12"/>
  <c r="AQ17" i="12"/>
  <c r="AY17" i="12"/>
  <c r="AU17" i="12"/>
  <c r="K11" i="12"/>
  <c r="U11" i="12" s="1"/>
  <c r="AT13" i="12"/>
  <c r="AP18" i="12"/>
  <c r="AY18" i="12"/>
  <c r="AU18" i="12"/>
  <c r="J16" i="12"/>
  <c r="AL18" i="12"/>
  <c r="AQ18" i="12"/>
  <c r="K12" i="12"/>
  <c r="U12" i="12" s="1"/>
  <c r="AT14" i="12"/>
  <c r="L13" i="12"/>
  <c r="V13" i="12" s="1"/>
  <c r="AX15" i="12"/>
  <c r="AM15" i="12"/>
  <c r="AT16" i="12"/>
  <c r="K14" i="12"/>
  <c r="U14" i="12" s="1"/>
  <c r="AP21" i="12"/>
  <c r="J19" i="12"/>
  <c r="AL21" i="12"/>
  <c r="AY21" i="12"/>
  <c r="AQ21" i="12"/>
  <c r="AU21" i="12"/>
  <c r="L20" i="12"/>
  <c r="V20" i="12" s="1"/>
  <c r="AX22" i="12"/>
  <c r="AM22" i="12"/>
  <c r="AP20" i="12"/>
  <c r="AU20" i="12"/>
  <c r="J18" i="12"/>
  <c r="AY20" i="12"/>
  <c r="AL20" i="12"/>
  <c r="AQ20" i="12"/>
  <c r="AT22" i="12"/>
  <c r="K20" i="12"/>
  <c r="U20" i="12" s="1"/>
  <c r="K17" i="12"/>
  <c r="U17" i="12" s="1"/>
  <c r="AT19" i="12"/>
  <c r="AU19" i="12"/>
  <c r="AY19" i="12"/>
  <c r="AQ19" i="12"/>
  <c r="AL19" i="12"/>
  <c r="AP19" i="12"/>
  <c r="J17" i="12"/>
  <c r="AT11" i="12"/>
  <c r="AW12" i="12" s="1"/>
  <c r="K9" i="12"/>
  <c r="H13" i="9"/>
  <c r="BC243" i="9"/>
  <c r="H12" i="9"/>
  <c r="AS243" i="9"/>
  <c r="L16" i="12" l="1"/>
  <c r="V16" i="12" s="1"/>
  <c r="AX18" i="12"/>
  <c r="AM18" i="12"/>
  <c r="L17" i="12"/>
  <c r="V17" i="12" s="1"/>
  <c r="AX19" i="12"/>
  <c r="AM19" i="12"/>
  <c r="L15" i="12"/>
  <c r="V15" i="12" s="1"/>
  <c r="AM17" i="12"/>
  <c r="AX17" i="12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P219" i="19"/>
  <c r="P54" i="14"/>
  <c r="P163" i="14"/>
  <c r="P109" i="14"/>
  <c r="P219" i="14"/>
  <c r="Q47" i="7"/>
  <c r="AK47" i="7" s="1"/>
  <c r="W37" i="13" s="1"/>
  <c r="P109" i="19"/>
  <c r="U9" i="12"/>
  <c r="K22" i="12"/>
  <c r="T17" i="12"/>
  <c r="M17" i="12"/>
  <c r="T18" i="12"/>
  <c r="M18" i="12"/>
  <c r="T19" i="12"/>
  <c r="M19" i="12"/>
  <c r="T16" i="12"/>
  <c r="M16" i="12"/>
  <c r="T15" i="12"/>
  <c r="M15" i="12"/>
  <c r="T12" i="12"/>
  <c r="M12" i="12"/>
  <c r="T10" i="12"/>
  <c r="M10" i="12"/>
  <c r="T14" i="12"/>
  <c r="M14" i="12"/>
  <c r="T13" i="12"/>
  <c r="M13" i="12"/>
  <c r="BA13" i="12"/>
  <c r="BA12" i="12"/>
  <c r="V9" i="12"/>
  <c r="L22" i="12"/>
  <c r="AO14" i="12"/>
  <c r="AO15" i="12"/>
  <c r="T20" i="12"/>
  <c r="M20" i="12"/>
  <c r="T11" i="12"/>
  <c r="M11" i="12"/>
  <c r="AW14" i="12"/>
  <c r="AS14" i="12"/>
  <c r="BA14" i="12"/>
  <c r="AO12" i="12"/>
  <c r="T9" i="12"/>
  <c r="M9" i="12"/>
  <c r="M22" i="12" s="1"/>
  <c r="O9" i="12" s="1"/>
  <c r="J22" i="12"/>
  <c r="AS12" i="12"/>
  <c r="CH99" i="18"/>
  <c r="CI99" i="18" s="1"/>
  <c r="CH103" i="18"/>
  <c r="CI103" i="18" s="1"/>
  <c r="CH93" i="18"/>
  <c r="CI93" i="18" s="1"/>
  <c r="CH71" i="18"/>
  <c r="CI71" i="18" s="1"/>
  <c r="CH95" i="18"/>
  <c r="CI95" i="18" s="1"/>
  <c r="CH83" i="18"/>
  <c r="CI83" i="18" s="1"/>
  <c r="CH96" i="18"/>
  <c r="CI96" i="18" s="1"/>
  <c r="CH73" i="18"/>
  <c r="CI73" i="18" s="1"/>
  <c r="CH78" i="18"/>
  <c r="CI78" i="18" s="1"/>
  <c r="CH102" i="18"/>
  <c r="CI102" i="18" s="1"/>
  <c r="CH77" i="18"/>
  <c r="CI77" i="18" s="1"/>
  <c r="CH105" i="18"/>
  <c r="CI105" i="18" s="1"/>
  <c r="CH88" i="18"/>
  <c r="CI88" i="18" s="1"/>
  <c r="CH104" i="18"/>
  <c r="CI104" i="18" s="1"/>
  <c r="CH89" i="18"/>
  <c r="CI89" i="18" s="1"/>
  <c r="CH98" i="18"/>
  <c r="CI98" i="18" s="1"/>
  <c r="CH106" i="18"/>
  <c r="CI106" i="18" s="1"/>
  <c r="CH101" i="18"/>
  <c r="CI101" i="18" s="1"/>
  <c r="CH79" i="18"/>
  <c r="CI79" i="18" s="1"/>
  <c r="CH76" i="18"/>
  <c r="CI76" i="18" s="1"/>
  <c r="CH86" i="18"/>
  <c r="CI86" i="18" s="1"/>
  <c r="CH91" i="18"/>
  <c r="CI91" i="18" s="1"/>
  <c r="CH87" i="18"/>
  <c r="CI87" i="18" s="1"/>
  <c r="CH94" i="18"/>
  <c r="CI94" i="18" s="1"/>
  <c r="CH74" i="18"/>
  <c r="CI74" i="18" s="1"/>
  <c r="CH80" i="18"/>
  <c r="CI80" i="18" s="1"/>
  <c r="CH84" i="18"/>
  <c r="CI84" i="18" s="1"/>
  <c r="CH82" i="18"/>
  <c r="CI82" i="18" s="1"/>
  <c r="CH97" i="18"/>
  <c r="CI97" i="18" s="1"/>
  <c r="CH90" i="18"/>
  <c r="CI90" i="18" s="1"/>
  <c r="CH100" i="18"/>
  <c r="CI100" i="18" s="1"/>
  <c r="CH92" i="18"/>
  <c r="CI92" i="18" s="1"/>
  <c r="CH81" i="18"/>
  <c r="CI81" i="18" s="1"/>
  <c r="CB120" i="18"/>
  <c r="CB121" i="18" s="1"/>
  <c r="CH72" i="18"/>
  <c r="CI72" i="18" s="1"/>
  <c r="CH85" i="18"/>
  <c r="CI85" i="18" s="1"/>
  <c r="CH75" i="18"/>
  <c r="CI75" i="18" s="1"/>
  <c r="BX87" i="18"/>
  <c r="BY87" i="18" s="1"/>
  <c r="BX100" i="18"/>
  <c r="BY100" i="18" s="1"/>
  <c r="BX94" i="18"/>
  <c r="BY94" i="18" s="1"/>
  <c r="BX106" i="18"/>
  <c r="BY106" i="18" s="1"/>
  <c r="BX71" i="18"/>
  <c r="BY71" i="18" s="1"/>
  <c r="BX104" i="18"/>
  <c r="BY104" i="18" s="1"/>
  <c r="BX85" i="18"/>
  <c r="BY85" i="18" s="1"/>
  <c r="BX76" i="18"/>
  <c r="BY76" i="18" s="1"/>
  <c r="BX84" i="18"/>
  <c r="BY84" i="18" s="1"/>
  <c r="BR120" i="18"/>
  <c r="BR121" i="18" s="1"/>
  <c r="BX103" i="18"/>
  <c r="BY103" i="18" s="1"/>
  <c r="BX88" i="18"/>
  <c r="BY88" i="18" s="1"/>
  <c r="BX79" i="18"/>
  <c r="BY79" i="18" s="1"/>
  <c r="BX74" i="18"/>
  <c r="BY74" i="18" s="1"/>
  <c r="BX75" i="18"/>
  <c r="BY75" i="18" s="1"/>
  <c r="BX73" i="18"/>
  <c r="BY73" i="18" s="1"/>
  <c r="BX95" i="18"/>
  <c r="BY95" i="18" s="1"/>
  <c r="BX97" i="18"/>
  <c r="BY97" i="18" s="1"/>
  <c r="BX77" i="18"/>
  <c r="BY77" i="18" s="1"/>
  <c r="BX102" i="18"/>
  <c r="BY102" i="18" s="1"/>
  <c r="BX89" i="18"/>
  <c r="BY89" i="18" s="1"/>
  <c r="BX91" i="18"/>
  <c r="BY91" i="18" s="1"/>
  <c r="BX101" i="18"/>
  <c r="BY101" i="18" s="1"/>
  <c r="BX96" i="18"/>
  <c r="BY96" i="18" s="1"/>
  <c r="BX81" i="18"/>
  <c r="BY81" i="18" s="1"/>
  <c r="BX83" i="18"/>
  <c r="BY83" i="18" s="1"/>
  <c r="BX78" i="18"/>
  <c r="BY78" i="18" s="1"/>
  <c r="BX82" i="18"/>
  <c r="BY82" i="18" s="1"/>
  <c r="BX80" i="18"/>
  <c r="BY80" i="18" s="1"/>
  <c r="BX93" i="18"/>
  <c r="BY93" i="18" s="1"/>
  <c r="BX86" i="18"/>
  <c r="BY86" i="18" s="1"/>
  <c r="BX105" i="18"/>
  <c r="BY105" i="18" s="1"/>
  <c r="BX92" i="18"/>
  <c r="BY92" i="18" s="1"/>
  <c r="BX72" i="18"/>
  <c r="BY72" i="18" s="1"/>
  <c r="BX90" i="18"/>
  <c r="BY90" i="18" s="1"/>
  <c r="BX99" i="18"/>
  <c r="BY99" i="18" s="1"/>
  <c r="BX98" i="18"/>
  <c r="BY98" i="18" s="1"/>
  <c r="EA27" i="9"/>
  <c r="AV29" i="7"/>
  <c r="AU53" i="7"/>
  <c r="AJ29" i="18"/>
  <c r="BI29" i="7"/>
  <c r="AV28" i="7"/>
  <c r="AU52" i="7"/>
  <c r="AJ28" i="18"/>
  <c r="BI28" i="7"/>
  <c r="EA26" i="9"/>
  <c r="E12" i="9"/>
  <c r="AS57" i="9"/>
  <c r="AV30" i="7"/>
  <c r="BI30" i="7"/>
  <c r="AU54" i="7"/>
  <c r="EA28" i="9"/>
  <c r="AJ30" i="18"/>
  <c r="BI39" i="7"/>
  <c r="EA37" i="9"/>
  <c r="AJ39" i="18"/>
  <c r="AU63" i="7"/>
  <c r="AV39" i="7"/>
  <c r="EA33" i="9"/>
  <c r="BI35" i="7"/>
  <c r="AJ35" i="18"/>
  <c r="AU59" i="7"/>
  <c r="AV35" i="7"/>
  <c r="AV21" i="7"/>
  <c r="AJ21" i="18"/>
  <c r="BI21" i="7"/>
  <c r="EA19" i="9"/>
  <c r="BI22" i="7"/>
  <c r="EA20" i="9"/>
  <c r="AV22" i="7"/>
  <c r="AJ22" i="18"/>
  <c r="AJ24" i="18"/>
  <c r="EA22" i="9"/>
  <c r="BI24" i="7"/>
  <c r="AV24" i="7"/>
  <c r="AU55" i="7"/>
  <c r="AJ31" i="18"/>
  <c r="EA29" i="9"/>
  <c r="BI31" i="7"/>
  <c r="AV31" i="7"/>
  <c r="EA40" i="9"/>
  <c r="AJ42" i="18"/>
  <c r="BI42" i="7"/>
  <c r="AU66" i="7"/>
  <c r="AV42" i="7"/>
  <c r="EA24" i="9"/>
  <c r="AJ26" i="18"/>
  <c r="BI26" i="7"/>
  <c r="AV26" i="7"/>
  <c r="AV34" i="7"/>
  <c r="EA32" i="9"/>
  <c r="BI34" i="7"/>
  <c r="AJ34" i="18"/>
  <c r="AU58" i="7"/>
  <c r="EA36" i="9"/>
  <c r="AJ38" i="18"/>
  <c r="BI38" i="7"/>
  <c r="AV38" i="7"/>
  <c r="AU62" i="7"/>
  <c r="BI23" i="7"/>
  <c r="AV23" i="7"/>
  <c r="AJ23" i="18"/>
  <c r="EA21" i="9"/>
  <c r="AU51" i="7"/>
  <c r="AJ27" i="18"/>
  <c r="AV27" i="7"/>
  <c r="BI27" i="7"/>
  <c r="EA25" i="9"/>
  <c r="AV25" i="7"/>
  <c r="BI25" i="7"/>
  <c r="AJ25" i="18"/>
  <c r="EA23" i="9"/>
  <c r="AJ44" i="18"/>
  <c r="BI44" i="7"/>
  <c r="AU68" i="7"/>
  <c r="AU67" i="7"/>
  <c r="EA41" i="9"/>
  <c r="EA42" i="9" s="1"/>
  <c r="BI43" i="7"/>
  <c r="AJ43" i="18"/>
  <c r="BI36" i="7"/>
  <c r="AJ36" i="18"/>
  <c r="EA34" i="9"/>
  <c r="AV36" i="7"/>
  <c r="AU60" i="7"/>
  <c r="AJ37" i="18"/>
  <c r="BI37" i="7"/>
  <c r="EA35" i="9"/>
  <c r="AU61" i="7"/>
  <c r="AV37" i="7"/>
  <c r="AJ33" i="18"/>
  <c r="BI33" i="7"/>
  <c r="EA31" i="9"/>
  <c r="AV33" i="7"/>
  <c r="AU57" i="7"/>
  <c r="AJ40" i="18"/>
  <c r="EA38" i="9"/>
  <c r="BI40" i="7"/>
  <c r="AV40" i="7"/>
  <c r="AU64" i="7"/>
  <c r="AJ41" i="18"/>
  <c r="BI41" i="7"/>
  <c r="EA39" i="9"/>
  <c r="AU65" i="7"/>
  <c r="AV41" i="7"/>
  <c r="AJ32" i="18"/>
  <c r="BI32" i="7"/>
  <c r="AU56" i="7"/>
  <c r="AV32" i="7"/>
  <c r="EA30" i="9"/>
  <c r="AO153" i="9"/>
  <c r="AP153" i="9" s="1"/>
  <c r="AO9" i="9"/>
  <c r="AP9" i="9" s="1"/>
  <c r="AO150" i="9"/>
  <c r="AP150" i="9" s="1"/>
  <c r="AO23" i="9"/>
  <c r="AP23" i="9" s="1"/>
  <c r="AO11" i="9"/>
  <c r="AP11" i="9" s="1"/>
  <c r="AO39" i="9"/>
  <c r="AP39" i="9" s="1"/>
  <c r="AO28" i="9"/>
  <c r="AP28" i="9" s="1"/>
  <c r="AO140" i="9"/>
  <c r="AP140" i="9" s="1"/>
  <c r="AI56" i="9"/>
  <c r="AO159" i="9"/>
  <c r="AP159" i="9" s="1"/>
  <c r="AO41" i="9"/>
  <c r="AP41" i="9" s="1"/>
  <c r="AO25" i="9"/>
  <c r="AP25" i="9" s="1"/>
  <c r="AO8" i="9"/>
  <c r="AP8" i="9" s="1"/>
  <c r="AU10" i="7" s="1"/>
  <c r="BA10" i="7" s="1"/>
  <c r="AO22" i="9"/>
  <c r="AP22" i="9" s="1"/>
  <c r="AO20" i="9"/>
  <c r="AP20" i="9" s="1"/>
  <c r="AO16" i="9"/>
  <c r="AP16" i="9" s="1"/>
  <c r="AO38" i="9"/>
  <c r="AP38" i="9" s="1"/>
  <c r="AO145" i="9"/>
  <c r="AP145" i="9" s="1"/>
  <c r="AO131" i="9"/>
  <c r="AP131" i="9" s="1"/>
  <c r="AO13" i="9"/>
  <c r="AP13" i="9" s="1"/>
  <c r="AO146" i="9"/>
  <c r="AP146" i="9" s="1"/>
  <c r="AO151" i="9"/>
  <c r="AP151" i="9" s="1"/>
  <c r="AO163" i="9"/>
  <c r="AP163" i="9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AO10" i="9"/>
  <c r="AP10" i="9" s="1"/>
  <c r="AO147" i="9"/>
  <c r="AP147" i="9" s="1"/>
  <c r="AO152" i="9"/>
  <c r="AP152" i="9" s="1"/>
  <c r="AO133" i="9"/>
  <c r="AP133" i="9" s="1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AO15" i="9"/>
  <c r="AP15" i="9" s="1"/>
  <c r="AO160" i="9"/>
  <c r="AP160" i="9" s="1"/>
  <c r="AO143" i="9"/>
  <c r="AP143" i="9" s="1"/>
  <c r="AO161" i="9"/>
  <c r="AP161" i="9" s="1"/>
  <c r="AO164" i="9"/>
  <c r="AP164" i="9" s="1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E35" i="9"/>
  <c r="CB57" i="9"/>
  <c r="BJ29" i="7"/>
  <c r="AK29" i="18"/>
  <c r="EF27" i="9"/>
  <c r="AW29" i="7"/>
  <c r="EF30" i="9"/>
  <c r="BJ32" i="7"/>
  <c r="AK32" i="18"/>
  <c r="AW32" i="7"/>
  <c r="BJ27" i="7"/>
  <c r="EF25" i="9"/>
  <c r="AW27" i="7"/>
  <c r="AK27" i="18"/>
  <c r="BJ42" i="7"/>
  <c r="EF40" i="9"/>
  <c r="AK42" i="18"/>
  <c r="AW42" i="7"/>
  <c r="BJ33" i="7"/>
  <c r="EF31" i="9"/>
  <c r="AK33" i="18"/>
  <c r="AW33" i="7"/>
  <c r="BJ30" i="7"/>
  <c r="AW30" i="7"/>
  <c r="EF28" i="9"/>
  <c r="AK30" i="18"/>
  <c r="AK41" i="18"/>
  <c r="EF39" i="9"/>
  <c r="BJ41" i="7"/>
  <c r="AW41" i="7"/>
  <c r="AK36" i="18"/>
  <c r="EF34" i="9"/>
  <c r="BJ36" i="7"/>
  <c r="AW36" i="7"/>
  <c r="BJ31" i="7"/>
  <c r="EF29" i="9"/>
  <c r="AK31" i="18"/>
  <c r="AW31" i="7"/>
  <c r="BJ44" i="7"/>
  <c r="AK44" i="18"/>
  <c r="BC57" i="9"/>
  <c r="E13" i="9"/>
  <c r="BJ40" i="7"/>
  <c r="AK40" i="18"/>
  <c r="EF38" i="9"/>
  <c r="AW40" i="7"/>
  <c r="BJ43" i="7"/>
  <c r="EF41" i="9"/>
  <c r="EF42" i="9" s="1"/>
  <c r="AK43" i="18"/>
  <c r="AK38" i="18"/>
  <c r="BJ38" i="7"/>
  <c r="EF36" i="9"/>
  <c r="AW38" i="7"/>
  <c r="BJ34" i="7"/>
  <c r="EF32" i="9"/>
  <c r="AK34" i="18"/>
  <c r="AW34" i="7"/>
  <c r="AK35" i="18"/>
  <c r="BJ35" i="7"/>
  <c r="EF33" i="9"/>
  <c r="AW35" i="7"/>
  <c r="EF35" i="9"/>
  <c r="AK37" i="18"/>
  <c r="BJ37" i="7"/>
  <c r="AW37" i="7"/>
  <c r="BJ39" i="7"/>
  <c r="EF37" i="9"/>
  <c r="AK39" i="18"/>
  <c r="AW39" i="7"/>
  <c r="AW28" i="7"/>
  <c r="AK28" i="18"/>
  <c r="EF26" i="9"/>
  <c r="BJ28" i="7"/>
  <c r="EK37" i="9"/>
  <c r="AX39" i="7"/>
  <c r="EK34" i="9"/>
  <c r="AX36" i="7"/>
  <c r="EK39" i="9"/>
  <c r="AX41" i="7"/>
  <c r="AX40" i="7"/>
  <c r="EK38" i="9"/>
  <c r="BM57" i="9"/>
  <c r="E14" i="9"/>
  <c r="N48" i="7" s="1"/>
  <c r="EK40" i="9"/>
  <c r="AX42" i="7"/>
  <c r="EK36" i="9"/>
  <c r="AX38" i="7"/>
  <c r="EK33" i="9"/>
  <c r="AX35" i="7"/>
  <c r="AX33" i="7"/>
  <c r="EK31" i="9"/>
  <c r="EK35" i="9"/>
  <c r="AX37" i="7"/>
  <c r="EK32" i="9"/>
  <c r="AX34" i="7"/>
  <c r="BM117" i="9"/>
  <c r="BC117" i="9"/>
  <c r="BI223" i="9" s="1"/>
  <c r="BJ223" i="9" s="1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BI214" i="9"/>
  <c r="BJ214" i="9" s="1"/>
  <c r="BI73" i="9"/>
  <c r="BJ73" i="9" s="1"/>
  <c r="BI70" i="9"/>
  <c r="BJ70" i="9" s="1"/>
  <c r="BI72" i="9"/>
  <c r="BJ72" i="9" s="1"/>
  <c r="BI76" i="9"/>
  <c r="BJ76" i="9" s="1"/>
  <c r="BI82" i="9"/>
  <c r="BJ82" i="9" s="1"/>
  <c r="BI99" i="9"/>
  <c r="BJ99" i="9" s="1"/>
  <c r="EF99" i="9" s="1"/>
  <c r="BC118" i="9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I119" i="9"/>
  <c r="F11" i="9"/>
  <c r="DU71" i="9"/>
  <c r="DT104" i="9"/>
  <c r="DU103" i="9"/>
  <c r="AS117" i="9"/>
  <c r="CH225" i="9"/>
  <c r="CI225" i="9" s="1"/>
  <c r="CH100" i="9"/>
  <c r="CI100" i="9" s="1"/>
  <c r="CH215" i="9"/>
  <c r="CI215" i="9" s="1"/>
  <c r="CH213" i="9"/>
  <c r="CI213" i="9" s="1"/>
  <c r="CH77" i="9"/>
  <c r="CI77" i="9" s="1"/>
  <c r="CH227" i="9"/>
  <c r="CI227" i="9" s="1"/>
  <c r="CH198" i="9"/>
  <c r="CI198" i="9" s="1"/>
  <c r="CH93" i="9"/>
  <c r="CI93" i="9" s="1"/>
  <c r="CH95" i="9"/>
  <c r="CI95" i="9" s="1"/>
  <c r="CH196" i="9"/>
  <c r="CI196" i="9" s="1"/>
  <c r="CH85" i="9"/>
  <c r="CI85" i="9" s="1"/>
  <c r="CH195" i="9"/>
  <c r="CI195" i="9" s="1"/>
  <c r="CH218" i="9"/>
  <c r="CI218" i="9" s="1"/>
  <c r="CH80" i="9"/>
  <c r="CI80" i="9" s="1"/>
  <c r="CH200" i="9"/>
  <c r="CI200" i="9" s="1"/>
  <c r="CH214" i="9"/>
  <c r="CI214" i="9" s="1"/>
  <c r="CH91" i="9"/>
  <c r="CI91" i="9" s="1"/>
  <c r="CH212" i="9"/>
  <c r="CI212" i="9" s="1"/>
  <c r="CH226" i="9"/>
  <c r="CI226" i="9" s="1"/>
  <c r="CH97" i="9"/>
  <c r="CI97" i="9" s="1"/>
  <c r="CB118" i="9"/>
  <c r="CH78" i="9"/>
  <c r="CI78" i="9" s="1"/>
  <c r="CH103" i="9"/>
  <c r="CI103" i="9" s="1"/>
  <c r="CH104" i="9"/>
  <c r="CI104" i="9" s="1"/>
  <c r="CH228" i="9"/>
  <c r="CI228" i="9" s="1"/>
  <c r="CH193" i="9"/>
  <c r="CI193" i="9" s="1"/>
  <c r="CH84" i="9"/>
  <c r="CI84" i="9" s="1"/>
  <c r="CH86" i="9"/>
  <c r="CI86" i="9" s="1"/>
  <c r="CH88" i="9"/>
  <c r="CI88" i="9" s="1"/>
  <c r="CH76" i="9"/>
  <c r="CI76" i="9" s="1"/>
  <c r="CH202" i="9"/>
  <c r="CI202" i="9" s="1"/>
  <c r="CH221" i="9"/>
  <c r="CI221" i="9" s="1"/>
  <c r="CH201" i="9"/>
  <c r="CI201" i="9" s="1"/>
  <c r="CH207" i="9"/>
  <c r="CI207" i="9" s="1"/>
  <c r="CH223" i="9"/>
  <c r="CI223" i="9" s="1"/>
  <c r="CH99" i="9"/>
  <c r="CI99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CH71" i="9"/>
  <c r="CI71" i="9" s="1"/>
  <c r="CH75" i="9"/>
  <c r="CI75" i="9" s="1"/>
  <c r="CH74" i="9"/>
  <c r="CI74" i="9" s="1"/>
  <c r="CH96" i="9"/>
  <c r="CI9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CH204" i="9"/>
  <c r="CI204" i="9" s="1"/>
  <c r="CH209" i="9"/>
  <c r="CI209" i="9" s="1"/>
  <c r="CH217" i="9"/>
  <c r="CI217" i="9" s="1"/>
  <c r="CH79" i="9"/>
  <c r="CI79" i="9" s="1"/>
  <c r="CH90" i="9"/>
  <c r="CI90" i="9" s="1"/>
  <c r="CH208" i="9"/>
  <c r="CI208" i="9" s="1"/>
  <c r="CH102" i="9"/>
  <c r="CI102" i="9" s="1"/>
  <c r="CH197" i="9"/>
  <c r="CI197" i="9" s="1"/>
  <c r="CH203" i="9"/>
  <c r="CI203" i="9" s="1"/>
  <c r="CH87" i="9"/>
  <c r="CI87" i="9" s="1"/>
  <c r="BM241" i="9"/>
  <c r="BM242" i="9"/>
  <c r="AI181" i="9"/>
  <c r="G11" i="9"/>
  <c r="BC181" i="9"/>
  <c r="G13" i="9"/>
  <c r="G14" i="9"/>
  <c r="BM181" i="9"/>
  <c r="AS181" i="9"/>
  <c r="G12" i="9"/>
  <c r="CB181" i="9"/>
  <c r="G35" i="9"/>
  <c r="Z16" i="17"/>
  <c r="K16" i="17"/>
  <c r="U17" i="17"/>
  <c r="S17" i="17"/>
  <c r="J16" i="17"/>
  <c r="S18" i="17"/>
  <c r="T17" i="17"/>
  <c r="AA16" i="17"/>
  <c r="L16" i="17"/>
  <c r="V17" i="17"/>
  <c r="AB16" i="17"/>
  <c r="M16" i="17"/>
  <c r="AC49" i="17"/>
  <c r="N50" i="17" s="1"/>
  <c r="H35" i="9"/>
  <c r="CB243" i="9"/>
  <c r="V60" i="16"/>
  <c r="L14" i="16"/>
  <c r="V14" i="16" s="1"/>
  <c r="E123" i="5"/>
  <c r="B16" i="19"/>
  <c r="Z31" i="10"/>
  <c r="B16" i="16"/>
  <c r="C124" i="5"/>
  <c r="AE21" i="5"/>
  <c r="AF22" i="5"/>
  <c r="B124" i="5" s="1"/>
  <c r="C16" i="16"/>
  <c r="AA31" i="10"/>
  <c r="C16" i="19"/>
  <c r="C126" i="19" s="1"/>
  <c r="D15" i="16"/>
  <c r="I122" i="5"/>
  <c r="AB32" i="10"/>
  <c r="L122" i="5"/>
  <c r="G15" i="19" s="1"/>
  <c r="G125" i="19" s="1"/>
  <c r="B125" i="19"/>
  <c r="E125" i="19" s="1"/>
  <c r="E15" i="19"/>
  <c r="W13" i="16"/>
  <c r="AA13" i="16"/>
  <c r="X13" i="16"/>
  <c r="L15" i="16" l="1"/>
  <c r="V15" i="16" s="1"/>
  <c r="V61" i="16"/>
  <c r="Z30" i="10"/>
  <c r="E124" i="5"/>
  <c r="B17" i="19"/>
  <c r="B17" i="16"/>
  <c r="C125" i="5"/>
  <c r="AE20" i="5"/>
  <c r="AF21" i="5"/>
  <c r="B125" i="5" s="1"/>
  <c r="C17" i="16"/>
  <c r="AA30" i="10"/>
  <c r="C17" i="19"/>
  <c r="C127" i="19" s="1"/>
  <c r="D16" i="16"/>
  <c r="B126" i="19"/>
  <c r="E126" i="19" s="1"/>
  <c r="E16" i="19"/>
  <c r="AB31" i="10"/>
  <c r="I123" i="5"/>
  <c r="L123" i="5"/>
  <c r="G16" i="19" s="1"/>
  <c r="G126" i="19" s="1"/>
  <c r="X14" i="16"/>
  <c r="W14" i="16"/>
  <c r="AA14" i="16"/>
  <c r="AB17" i="17"/>
  <c r="M17" i="17"/>
  <c r="V18" i="17"/>
  <c r="Z17" i="17"/>
  <c r="K17" i="17"/>
  <c r="U18" i="17"/>
  <c r="T18" i="17"/>
  <c r="S19" i="17"/>
  <c r="J18" i="17"/>
  <c r="J17" i="17"/>
  <c r="S20" i="17"/>
  <c r="AA17" i="17"/>
  <c r="L17" i="17"/>
  <c r="O218" i="19"/>
  <c r="O53" i="14"/>
  <c r="O108" i="14"/>
  <c r="O108" i="19"/>
  <c r="O162" i="14"/>
  <c r="O218" i="14"/>
  <c r="P46" i="7"/>
  <c r="AJ46" i="7" s="1"/>
  <c r="E37" i="13" s="1"/>
  <c r="O55" i="14"/>
  <c r="O220" i="14"/>
  <c r="O110" i="19"/>
  <c r="P48" i="7"/>
  <c r="AJ48" i="7" s="1"/>
  <c r="E39" i="13" s="1"/>
  <c r="O110" i="14"/>
  <c r="O164" i="14"/>
  <c r="O220" i="19"/>
  <c r="O109" i="19"/>
  <c r="O109" i="14"/>
  <c r="O219" i="14"/>
  <c r="O219" i="19"/>
  <c r="P47" i="7"/>
  <c r="AJ47" i="7" s="1"/>
  <c r="E38" i="13" s="1"/>
  <c r="O54" i="14"/>
  <c r="O163" i="14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BM243" i="9"/>
  <c r="H14" i="9"/>
  <c r="CB119" i="9"/>
  <c r="F35" i="9"/>
  <c r="AY215" i="9"/>
  <c r="AZ215" i="9" s="1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AY74" i="9"/>
  <c r="AZ74" i="9" s="1"/>
  <c r="AY103" i="9"/>
  <c r="AZ103" i="9" s="1"/>
  <c r="EA103" i="9" s="1"/>
  <c r="EA104" i="9" s="1"/>
  <c r="AY76" i="9"/>
  <c r="AZ76" i="9" s="1"/>
  <c r="AY226" i="9"/>
  <c r="AZ226" i="9" s="1"/>
  <c r="AY196" i="9"/>
  <c r="AZ196" i="9" s="1"/>
  <c r="AY201" i="9"/>
  <c r="AZ201" i="9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U104" i="9"/>
  <c r="DS113" i="9"/>
  <c r="DS111" i="9"/>
  <c r="DS112" i="9"/>
  <c r="H37" i="4"/>
  <c r="O45" i="7"/>
  <c r="EF104" i="9"/>
  <c r="F13" i="9"/>
  <c r="BC119" i="9"/>
  <c r="BS104" i="9"/>
  <c r="BT104" i="9" s="1"/>
  <c r="EK104" i="9" s="1"/>
  <c r="BS216" i="9"/>
  <c r="BT216" i="9" s="1"/>
  <c r="BS94" i="9"/>
  <c r="BT94" i="9" s="1"/>
  <c r="EK94" i="9" s="1"/>
  <c r="BS222" i="9"/>
  <c r="BT222" i="9" s="1"/>
  <c r="BM118" i="9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BS84" i="9"/>
  <c r="BT84" i="9" s="1"/>
  <c r="BS209" i="9"/>
  <c r="BT209" i="9" s="1"/>
  <c r="BS199" i="9"/>
  <c r="BT199" i="9" s="1"/>
  <c r="BS227" i="9"/>
  <c r="BT227" i="9" s="1"/>
  <c r="BS215" i="9"/>
  <c r="BT215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BS90" i="9"/>
  <c r="BT90" i="9" s="1"/>
  <c r="BS212" i="9"/>
  <c r="BT212" i="9" s="1"/>
  <c r="BS71" i="9"/>
  <c r="BT71" i="9" s="1"/>
  <c r="BS76" i="9"/>
  <c r="BT76" i="9" s="1"/>
  <c r="BS221" i="9"/>
  <c r="BT221" i="9" s="1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EJ51" i="9"/>
  <c r="EJ50" i="9"/>
  <c r="EJ49" i="9"/>
  <c r="L55" i="14"/>
  <c r="L110" i="14"/>
  <c r="L110" i="19"/>
  <c r="L220" i="19"/>
  <c r="AH48" i="7"/>
  <c r="L164" i="14"/>
  <c r="L220" i="14"/>
  <c r="EE51" i="9"/>
  <c r="G39" i="4"/>
  <c r="N47" i="7"/>
  <c r="EE50" i="9"/>
  <c r="EE49" i="9"/>
  <c r="AT68" i="7"/>
  <c r="BA44" i="7"/>
  <c r="DT34" i="9"/>
  <c r="AU36" i="7"/>
  <c r="DT40" i="9"/>
  <c r="AU42" i="7"/>
  <c r="DT27" i="9"/>
  <c r="AU29" i="7"/>
  <c r="AU19" i="7"/>
  <c r="BA19" i="7" s="1"/>
  <c r="DT17" i="9"/>
  <c r="AU23" i="7"/>
  <c r="BA23" i="7" s="1"/>
  <c r="DT21" i="9"/>
  <c r="DT31" i="9"/>
  <c r="AU33" i="7"/>
  <c r="DT33" i="9"/>
  <c r="AU35" i="7"/>
  <c r="DT36" i="9"/>
  <c r="AU38" i="7"/>
  <c r="DT29" i="9"/>
  <c r="AU31" i="7"/>
  <c r="DT15" i="9"/>
  <c r="AU17" i="7"/>
  <c r="BA17" i="7" s="1"/>
  <c r="DT37" i="9"/>
  <c r="AU39" i="7"/>
  <c r="DT24" i="9"/>
  <c r="AU26" i="7"/>
  <c r="BA26" i="7" s="1"/>
  <c r="DT12" i="9"/>
  <c r="AU14" i="7"/>
  <c r="BA14" i="7" s="1"/>
  <c r="DT32" i="9"/>
  <c r="AU34" i="7"/>
  <c r="DT10" i="9"/>
  <c r="AU12" i="7"/>
  <c r="BA12" i="7" s="1"/>
  <c r="DT35" i="9"/>
  <c r="AU37" i="7"/>
  <c r="DT18" i="9"/>
  <c r="AU20" i="7"/>
  <c r="BA20" i="7" s="1"/>
  <c r="DT19" i="9"/>
  <c r="AU21" i="7"/>
  <c r="BA21" i="7" s="1"/>
  <c r="DT26" i="9"/>
  <c r="AU28" i="7"/>
  <c r="AU16" i="7"/>
  <c r="BA16" i="7" s="1"/>
  <c r="DT14" i="9"/>
  <c r="DT30" i="9"/>
  <c r="AU32" i="7"/>
  <c r="AU15" i="7"/>
  <c r="BA15" i="7" s="1"/>
  <c r="DT13" i="9"/>
  <c r="DT38" i="9"/>
  <c r="AU40" i="7"/>
  <c r="AU18" i="7"/>
  <c r="BA18" i="7" s="1"/>
  <c r="DT16" i="9"/>
  <c r="AU22" i="7"/>
  <c r="BA22" i="7" s="1"/>
  <c r="DT20" i="9"/>
  <c r="DT22" i="9"/>
  <c r="AU24" i="7"/>
  <c r="BA24" i="7" s="1"/>
  <c r="DT25" i="9"/>
  <c r="AU27" i="7"/>
  <c r="DT41" i="9"/>
  <c r="DT42" i="9" s="1"/>
  <c r="AU43" i="7"/>
  <c r="E11" i="9"/>
  <c r="AI57" i="9"/>
  <c r="DT28" i="9"/>
  <c r="AU30" i="7"/>
  <c r="DT39" i="9"/>
  <c r="AU41" i="7"/>
  <c r="AU13" i="7"/>
  <c r="BA13" i="7" s="1"/>
  <c r="DT11" i="9"/>
  <c r="DT23" i="9"/>
  <c r="AU25" i="7"/>
  <c r="BA25" i="7" s="1"/>
  <c r="AU11" i="7"/>
  <c r="BA11" i="7" s="1"/>
  <c r="DT9" i="9"/>
  <c r="DZ51" i="9"/>
  <c r="DZ50" i="9"/>
  <c r="DZ49" i="9"/>
  <c r="AK2" i="18"/>
  <c r="AK3" i="18" s="1"/>
  <c r="G38" i="4"/>
  <c r="N46" i="7"/>
  <c r="X9" i="12"/>
  <c r="V22" i="12"/>
  <c r="V25" i="12" s="1"/>
  <c r="V23" i="12"/>
  <c r="V26" i="12" s="1"/>
  <c r="V27" i="12" s="1"/>
  <c r="V28" i="12" s="1"/>
  <c r="O11" i="12"/>
  <c r="X11" i="12" s="1"/>
  <c r="O20" i="12"/>
  <c r="X20" i="12" s="1"/>
  <c r="O13" i="12"/>
  <c r="X13" i="12" s="1"/>
  <c r="O14" i="12"/>
  <c r="X14" i="12" s="1"/>
  <c r="O10" i="12"/>
  <c r="O12" i="12"/>
  <c r="X12" i="12" s="1"/>
  <c r="O15" i="12"/>
  <c r="X15" i="12" s="1"/>
  <c r="O16" i="12"/>
  <c r="X16" i="12" s="1"/>
  <c r="O19" i="12"/>
  <c r="X19" i="12" s="1"/>
  <c r="O18" i="12"/>
  <c r="X18" i="12" s="1"/>
  <c r="O17" i="12"/>
  <c r="X17" i="12" s="1"/>
  <c r="X10" i="12" l="1"/>
  <c r="O22" i="12"/>
  <c r="V31" i="12"/>
  <c r="V30" i="12"/>
  <c r="L108" i="19"/>
  <c r="L218" i="19"/>
  <c r="L108" i="14"/>
  <c r="L53" i="14"/>
  <c r="L115" i="10"/>
  <c r="L169" i="10" s="1"/>
  <c r="W54" i="19"/>
  <c r="L218" i="14"/>
  <c r="L162" i="14"/>
  <c r="AH46" i="7"/>
  <c r="DZ52" i="9"/>
  <c r="F37" i="13" s="1"/>
  <c r="DS51" i="9"/>
  <c r="DS49" i="9"/>
  <c r="AT65" i="7"/>
  <c r="BA41" i="7"/>
  <c r="AT54" i="7"/>
  <c r="BA30" i="7"/>
  <c r="G37" i="4"/>
  <c r="N45" i="7"/>
  <c r="AT67" i="7"/>
  <c r="BA43" i="7"/>
  <c r="DS50" i="9"/>
  <c r="BA27" i="7"/>
  <c r="AT51" i="7"/>
  <c r="AT64" i="7"/>
  <c r="BA40" i="7"/>
  <c r="AT56" i="7"/>
  <c r="BA32" i="7"/>
  <c r="AT52" i="7"/>
  <c r="BA28" i="7"/>
  <c r="AT61" i="7"/>
  <c r="BA37" i="7"/>
  <c r="AT58" i="7"/>
  <c r="BA34" i="7"/>
  <c r="AT63" i="7"/>
  <c r="BA39" i="7"/>
  <c r="AT55" i="7"/>
  <c r="BA31" i="7"/>
  <c r="AT62" i="7"/>
  <c r="BA38" i="7"/>
  <c r="AT59" i="7"/>
  <c r="BA35" i="7"/>
  <c r="AT57" i="7"/>
  <c r="BA33" i="7"/>
  <c r="AT53" i="7"/>
  <c r="BA29" i="7"/>
  <c r="AT66" i="7"/>
  <c r="BA42" i="7"/>
  <c r="AT60" i="7"/>
  <c r="BA36" i="7"/>
  <c r="L109" i="14"/>
  <c r="L54" i="14"/>
  <c r="L163" i="14"/>
  <c r="AH47" i="7"/>
  <c r="L109" i="19"/>
  <c r="W55" i="19"/>
  <c r="L219" i="14"/>
  <c r="L116" i="10"/>
  <c r="L170" i="10" s="1"/>
  <c r="L219" i="19"/>
  <c r="EE52" i="9"/>
  <c r="F38" i="13" s="1"/>
  <c r="EJ52" i="9"/>
  <c r="F39" i="13" s="1"/>
  <c r="EJ111" i="9"/>
  <c r="EJ112" i="9"/>
  <c r="EJ113" i="9"/>
  <c r="EJ114" i="9" s="1"/>
  <c r="F14" i="9"/>
  <c r="O48" i="7" s="1"/>
  <c r="BM119" i="9"/>
  <c r="H39" i="4"/>
  <c r="O47" i="7"/>
  <c r="EE113" i="9"/>
  <c r="EE111" i="9"/>
  <c r="EE112" i="9"/>
  <c r="EE114" i="9" s="1"/>
  <c r="X38" i="13" s="1"/>
  <c r="M107" i="19"/>
  <c r="M217" i="14"/>
  <c r="M107" i="14"/>
  <c r="M114" i="10"/>
  <c r="M168" i="10" s="1"/>
  <c r="M52" i="14"/>
  <c r="X53" i="19"/>
  <c r="M161" i="14"/>
  <c r="AI45" i="7"/>
  <c r="M217" i="19"/>
  <c r="DS114" i="9"/>
  <c r="X36" i="13" s="1"/>
  <c r="DZ112" i="9"/>
  <c r="F12" i="9"/>
  <c r="AS119" i="9"/>
  <c r="DZ111" i="9"/>
  <c r="DZ113" i="9"/>
  <c r="DZ114" i="9" s="1"/>
  <c r="X37" i="13" s="1"/>
  <c r="Q48" i="7"/>
  <c r="AK48" i="7" s="1"/>
  <c r="W38" i="13" s="1"/>
  <c r="P220" i="14"/>
  <c r="P110" i="19"/>
  <c r="P55" i="14"/>
  <c r="P110" i="14"/>
  <c r="P220" i="19"/>
  <c r="P164" i="14"/>
  <c r="S21" i="17"/>
  <c r="Y20" i="17"/>
  <c r="J20" i="17"/>
  <c r="J19" i="17"/>
  <c r="S22" i="17"/>
  <c r="T19" i="17"/>
  <c r="Z18" i="17"/>
  <c r="K18" i="17"/>
  <c r="U19" i="17"/>
  <c r="AA18" i="17"/>
  <c r="L18" i="17"/>
  <c r="V19" i="17"/>
  <c r="AB18" i="17"/>
  <c r="M18" i="17"/>
  <c r="V62" i="16"/>
  <c r="L16" i="16"/>
  <c r="V16" i="16" s="1"/>
  <c r="Z29" i="10"/>
  <c r="E125" i="5"/>
  <c r="B18" i="16"/>
  <c r="B18" i="19"/>
  <c r="C126" i="5"/>
  <c r="AE19" i="5"/>
  <c r="AF20" i="5"/>
  <c r="C18" i="19"/>
  <c r="C128" i="19" s="1"/>
  <c r="C18" i="16"/>
  <c r="AA29" i="10"/>
  <c r="D17" i="16"/>
  <c r="B127" i="19"/>
  <c r="E127" i="19" s="1"/>
  <c r="E17" i="19"/>
  <c r="AB30" i="10"/>
  <c r="I124" i="5"/>
  <c r="L124" i="5"/>
  <c r="G17" i="19" s="1"/>
  <c r="G127" i="19" s="1"/>
  <c r="W15" i="16"/>
  <c r="X15" i="16"/>
  <c r="AA15" i="16"/>
  <c r="V63" i="16" l="1"/>
  <c r="L17" i="16"/>
  <c r="V17" i="16" s="1"/>
  <c r="B126" i="5"/>
  <c r="C127" i="5"/>
  <c r="AE18" i="5"/>
  <c r="AF19" i="5"/>
  <c r="B127" i="5" s="1"/>
  <c r="C19" i="16"/>
  <c r="C19" i="19"/>
  <c r="C129" i="19" s="1"/>
  <c r="AA28" i="10"/>
  <c r="B128" i="19"/>
  <c r="E128" i="19" s="1"/>
  <c r="E18" i="19"/>
  <c r="D18" i="16"/>
  <c r="I125" i="5"/>
  <c r="AB29" i="10"/>
  <c r="L125" i="5"/>
  <c r="G18" i="19" s="1"/>
  <c r="G128" i="19" s="1"/>
  <c r="X16" i="16"/>
  <c r="W16" i="16"/>
  <c r="AA16" i="16"/>
  <c r="AB19" i="17"/>
  <c r="M19" i="17"/>
  <c r="V20" i="17"/>
  <c r="L19" i="17"/>
  <c r="AA19" i="17"/>
  <c r="U20" i="17"/>
  <c r="T20" i="17"/>
  <c r="Z19" i="17"/>
  <c r="K19" i="17"/>
  <c r="T21" i="17"/>
  <c r="T22" i="17"/>
  <c r="Y22" i="17"/>
  <c r="J22" i="17"/>
  <c r="S23" i="17"/>
  <c r="T23" i="17"/>
  <c r="J21" i="17"/>
  <c r="Y21" i="17"/>
  <c r="O46" i="7"/>
  <c r="H38" i="4"/>
  <c r="X55" i="19"/>
  <c r="M116" i="10"/>
  <c r="M170" i="10" s="1"/>
  <c r="M109" i="19"/>
  <c r="M54" i="14"/>
  <c r="M219" i="14"/>
  <c r="AI47" i="7"/>
  <c r="M219" i="19"/>
  <c r="M109" i="14"/>
  <c r="M163" i="14"/>
  <c r="M55" i="14"/>
  <c r="AI48" i="7"/>
  <c r="M110" i="19"/>
  <c r="M220" i="19"/>
  <c r="M220" i="14"/>
  <c r="M110" i="14"/>
  <c r="M164" i="14"/>
  <c r="AW2" i="7"/>
  <c r="L161" i="14"/>
  <c r="AH45" i="7"/>
  <c r="W53" i="19"/>
  <c r="L114" i="10"/>
  <c r="L168" i="10" s="1"/>
  <c r="L107" i="19"/>
  <c r="L217" i="14"/>
  <c r="L217" i="19"/>
  <c r="L107" i="14"/>
  <c r="L52" i="14"/>
  <c r="DS52" i="9"/>
  <c r="F36" i="13" s="1"/>
  <c r="BB3" i="7" l="1"/>
  <c r="AW3" i="7"/>
  <c r="M108" i="14"/>
  <c r="M53" i="14"/>
  <c r="M218" i="14"/>
  <c r="M218" i="19"/>
  <c r="X54" i="19"/>
  <c r="M108" i="19"/>
  <c r="M162" i="14"/>
  <c r="AI46" i="7"/>
  <c r="M115" i="10"/>
  <c r="M169" i="10" s="1"/>
  <c r="K23" i="17"/>
  <c r="Y23" i="17"/>
  <c r="J23" i="17"/>
  <c r="S24" i="17"/>
  <c r="T24" i="17"/>
  <c r="S25" i="17"/>
  <c r="T25" i="17"/>
  <c r="K22" i="17"/>
  <c r="K21" i="17"/>
  <c r="K20" i="17"/>
  <c r="U21" i="17"/>
  <c r="L20" i="17"/>
  <c r="AA20" i="17"/>
  <c r="V21" i="17"/>
  <c r="V22" i="17"/>
  <c r="M20" i="17"/>
  <c r="AB20" i="17"/>
  <c r="V64" i="16"/>
  <c r="L18" i="16"/>
  <c r="V18" i="16" s="1"/>
  <c r="E127" i="5"/>
  <c r="Z27" i="10"/>
  <c r="B20" i="19"/>
  <c r="B20" i="16"/>
  <c r="AE17" i="5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W17" i="16"/>
  <c r="AA17" i="16"/>
  <c r="X17" i="16"/>
  <c r="E19" i="19" l="1"/>
  <c r="B129" i="19"/>
  <c r="E129" i="19" s="1"/>
  <c r="L19" i="16"/>
  <c r="V19" i="16" s="1"/>
  <c r="V65" i="16"/>
  <c r="I126" i="5"/>
  <c r="AB28" i="10"/>
  <c r="L126" i="5"/>
  <c r="G19" i="19" s="1"/>
  <c r="G129" i="19" s="1"/>
  <c r="B21" i="16"/>
  <c r="Z26" i="10"/>
  <c r="B21" i="19"/>
  <c r="E128" i="5"/>
  <c r="C21" i="16"/>
  <c r="AA26" i="10"/>
  <c r="C21" i="19"/>
  <c r="C131" i="19" s="1"/>
  <c r="C58" i="5"/>
  <c r="C129" i="5"/>
  <c r="AE16" i="5"/>
  <c r="AF17" i="5"/>
  <c r="D20" i="16"/>
  <c r="E20" i="19"/>
  <c r="B130" i="19"/>
  <c r="E130" i="19" s="1"/>
  <c r="AB27" i="10"/>
  <c r="I127" i="5"/>
  <c r="L127" i="5"/>
  <c r="G20" i="19" s="1"/>
  <c r="G130" i="19" s="1"/>
  <c r="AA18" i="16"/>
  <c r="W18" i="16"/>
  <c r="X18" i="16"/>
  <c r="AB22" i="17"/>
  <c r="M22" i="17"/>
  <c r="AB21" i="17"/>
  <c r="M21" i="17"/>
  <c r="U22" i="17"/>
  <c r="AA21" i="17"/>
  <c r="L21" i="17"/>
  <c r="K25" i="17"/>
  <c r="Y25" i="17"/>
  <c r="J25" i="17"/>
  <c r="T26" i="17"/>
  <c r="S26" i="17"/>
  <c r="K24" i="17"/>
  <c r="Y24" i="17"/>
  <c r="J24" i="17"/>
  <c r="B129" i="5" l="1"/>
  <c r="C57" i="5"/>
  <c r="C59" i="5"/>
  <c r="Y26" i="17"/>
  <c r="J26" i="17"/>
  <c r="S27" i="17"/>
  <c r="T27" i="17"/>
  <c r="K26" i="17"/>
  <c r="Z26" i="17"/>
  <c r="AA22" i="17"/>
  <c r="L22" i="17"/>
  <c r="U23" i="17"/>
  <c r="U24" i="17"/>
  <c r="U25" i="17"/>
  <c r="V23" i="17"/>
  <c r="V66" i="16"/>
  <c r="L20" i="16"/>
  <c r="V20" i="16" s="1"/>
  <c r="B22" i="19"/>
  <c r="B22" i="16"/>
  <c r="Z25" i="10"/>
  <c r="E129" i="5"/>
  <c r="C130" i="5"/>
  <c r="AE15" i="5"/>
  <c r="AF16" i="5"/>
  <c r="B130" i="5" s="1"/>
  <c r="AA25" i="10"/>
  <c r="C22" i="19"/>
  <c r="C132" i="19" s="1"/>
  <c r="C22" i="16"/>
  <c r="AB26" i="10"/>
  <c r="I128" i="5"/>
  <c r="L128" i="5"/>
  <c r="G21" i="19" s="1"/>
  <c r="G131" i="19" s="1"/>
  <c r="E21" i="19"/>
  <c r="B131" i="19"/>
  <c r="E131" i="19" s="1"/>
  <c r="D21" i="16"/>
  <c r="W19" i="16"/>
  <c r="X19" i="16"/>
  <c r="AA19" i="16"/>
  <c r="V67" i="16" l="1"/>
  <c r="L21" i="16"/>
  <c r="V21" i="16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B25" i="10"/>
  <c r="I129" i="5"/>
  <c r="L129" i="5"/>
  <c r="G22" i="19" s="1"/>
  <c r="G132" i="19" s="1"/>
  <c r="D22" i="16"/>
  <c r="E22" i="19"/>
  <c r="B132" i="19"/>
  <c r="E132" i="19" s="1"/>
  <c r="AA20" i="16"/>
  <c r="W20" i="16"/>
  <c r="X20" i="16"/>
  <c r="V24" i="17"/>
  <c r="AB23" i="17"/>
  <c r="M23" i="17"/>
  <c r="U26" i="17"/>
  <c r="AA25" i="17"/>
  <c r="L25" i="17"/>
  <c r="L24" i="17"/>
  <c r="AA24" i="17"/>
  <c r="AA23" i="17"/>
  <c r="L23" i="17"/>
  <c r="U27" i="17"/>
  <c r="Z27" i="17"/>
  <c r="K27" i="17"/>
  <c r="Y27" i="17"/>
  <c r="J27" i="17"/>
  <c r="S28" i="17"/>
  <c r="T28" i="17"/>
  <c r="Z28" i="17" l="1"/>
  <c r="K28" i="17"/>
  <c r="Y28" i="17"/>
  <c r="J28" i="17"/>
  <c r="T29" i="17"/>
  <c r="S29" i="17"/>
  <c r="U28" i="17"/>
  <c r="L27" i="17"/>
  <c r="L26" i="17"/>
  <c r="AB24" i="17"/>
  <c r="M24" i="17"/>
  <c r="V25" i="17"/>
  <c r="V68" i="16"/>
  <c r="L22" i="16"/>
  <c r="V22" i="16" s="1"/>
  <c r="B24" i="19"/>
  <c r="E131" i="5"/>
  <c r="B24" i="16"/>
  <c r="Z23" i="10"/>
  <c r="AE13" i="5"/>
  <c r="C132" i="5"/>
  <c r="AF14" i="5"/>
  <c r="B132" i="5" s="1"/>
  <c r="C24" i="19"/>
  <c r="C134" i="19" s="1"/>
  <c r="C24" i="16"/>
  <c r="AA23" i="10"/>
  <c r="AB24" i="10"/>
  <c r="I130" i="5"/>
  <c r="L130" i="5"/>
  <c r="G23" i="19" s="1"/>
  <c r="G133" i="19" s="1"/>
  <c r="E23" i="19"/>
  <c r="B133" i="19"/>
  <c r="E133" i="19" s="1"/>
  <c r="D23" i="16"/>
  <c r="X21" i="16"/>
  <c r="AA21" i="16"/>
  <c r="W21" i="16"/>
  <c r="V69" i="16" l="1"/>
  <c r="L23" i="16"/>
  <c r="V23" i="16" s="1"/>
  <c r="E132" i="5"/>
  <c r="Z22" i="10"/>
  <c r="B25" i="16"/>
  <c r="AA22" i="10"/>
  <c r="C25" i="16"/>
  <c r="AE12" i="5"/>
  <c r="C133" i="5"/>
  <c r="AF13" i="5"/>
  <c r="B133" i="5" s="1"/>
  <c r="D24" i="16"/>
  <c r="L131" i="5"/>
  <c r="G24" i="19" s="1"/>
  <c r="G134" i="19" s="1"/>
  <c r="AB23" i="10"/>
  <c r="I131" i="5"/>
  <c r="E24" i="19"/>
  <c r="B134" i="19"/>
  <c r="E134" i="19" s="1"/>
  <c r="X22" i="16"/>
  <c r="W22" i="16"/>
  <c r="AA22" i="16"/>
  <c r="AB25" i="17"/>
  <c r="M25" i="17"/>
  <c r="V26" i="17"/>
  <c r="L28" i="17"/>
  <c r="U29" i="17"/>
  <c r="S30" i="17"/>
  <c r="Y29" i="17"/>
  <c r="J29" i="17"/>
  <c r="S31" i="17"/>
  <c r="T30" i="17"/>
  <c r="S32" i="17"/>
  <c r="K29" i="17"/>
  <c r="Z29" i="17"/>
  <c r="U30" i="17"/>
  <c r="L30" i="17" l="1"/>
  <c r="U31" i="17"/>
  <c r="J32" i="17"/>
  <c r="Y32" i="17"/>
  <c r="Z30" i="17"/>
  <c r="K30" i="17"/>
  <c r="T31" i="17"/>
  <c r="J31" i="17"/>
  <c r="Y31" i="17"/>
  <c r="S33" i="17"/>
  <c r="Y30" i="17"/>
  <c r="J30" i="17"/>
  <c r="S34" i="17"/>
  <c r="L29" i="17"/>
  <c r="M26" i="17"/>
  <c r="AB26" i="17"/>
  <c r="V27" i="17"/>
  <c r="L24" i="16"/>
  <c r="V24" i="16" s="1"/>
  <c r="V70" i="16"/>
  <c r="Z21" i="10"/>
  <c r="E133" i="5"/>
  <c r="B26" i="16"/>
  <c r="C26" i="16"/>
  <c r="AA21" i="10"/>
  <c r="C134" i="5"/>
  <c r="AE11" i="5"/>
  <c r="AF11" i="5" s="1"/>
  <c r="AF12" i="5"/>
  <c r="B134" i="5" s="1"/>
  <c r="D25" i="16"/>
  <c r="L132" i="5"/>
  <c r="AB22" i="10"/>
  <c r="I132" i="5"/>
  <c r="X23" i="16"/>
  <c r="W23" i="16"/>
  <c r="AA23" i="16"/>
  <c r="L25" i="16" l="1"/>
  <c r="V25" i="16" s="1"/>
  <c r="V71" i="16"/>
  <c r="Z20" i="10"/>
  <c r="E134" i="5"/>
  <c r="B27" i="16"/>
  <c r="AA20" i="10"/>
  <c r="C27" i="16"/>
  <c r="D26" i="16"/>
  <c r="I133" i="5"/>
  <c r="AB21" i="10"/>
  <c r="L133" i="5"/>
  <c r="X24" i="16"/>
  <c r="AA24" i="16"/>
  <c r="W24" i="16"/>
  <c r="AB27" i="17"/>
  <c r="M27" i="17"/>
  <c r="V28" i="17"/>
  <c r="Y34" i="17"/>
  <c r="J34" i="17"/>
  <c r="J33" i="17"/>
  <c r="Y33" i="17"/>
  <c r="S35" i="17"/>
  <c r="Z31" i="17"/>
  <c r="K31" i="17"/>
  <c r="T32" i="17"/>
  <c r="U32" i="17"/>
  <c r="U33" i="17"/>
  <c r="L31" i="17"/>
  <c r="AA33" i="17" l="1"/>
  <c r="L33" i="17"/>
  <c r="L32" i="17"/>
  <c r="AA32" i="17"/>
  <c r="Z32" i="17"/>
  <c r="K32" i="17"/>
  <c r="T33" i="17"/>
  <c r="T34" i="17"/>
  <c r="T35" i="17"/>
  <c r="Y35" i="17"/>
  <c r="J35" i="17"/>
  <c r="S36" i="17"/>
  <c r="T36" i="17"/>
  <c r="S37" i="17"/>
  <c r="T37" i="17"/>
  <c r="S38" i="17"/>
  <c r="T38" i="17"/>
  <c r="M28" i="17"/>
  <c r="AB28" i="17"/>
  <c r="V29" i="17"/>
  <c r="V72" i="16"/>
  <c r="L26" i="16"/>
  <c r="V26" i="16" s="1"/>
  <c r="D27" i="16"/>
  <c r="I134" i="5"/>
  <c r="L134" i="5"/>
  <c r="AB20" i="10"/>
  <c r="AA25" i="16"/>
  <c r="X25" i="16"/>
  <c r="W25" i="16"/>
  <c r="L27" i="16" l="1"/>
  <c r="V27" i="16" s="1"/>
  <c r="V73" i="16"/>
  <c r="W26" i="16"/>
  <c r="X26" i="16"/>
  <c r="AA26" i="16"/>
  <c r="V28" i="16"/>
  <c r="V30" i="17"/>
  <c r="AB29" i="17"/>
  <c r="M29" i="17"/>
  <c r="V31" i="17"/>
  <c r="V32" i="17"/>
  <c r="Z38" i="17"/>
  <c r="K38" i="17"/>
  <c r="Y38" i="17"/>
  <c r="J38" i="17"/>
  <c r="Z37" i="17"/>
  <c r="K37" i="17"/>
  <c r="Y37" i="17"/>
  <c r="J37" i="17"/>
  <c r="Z36" i="17"/>
  <c r="K36" i="17"/>
  <c r="Y36" i="17"/>
  <c r="J36" i="17"/>
  <c r="S39" i="17"/>
  <c r="T39" i="17"/>
  <c r="Z35" i="17"/>
  <c r="K35" i="17"/>
  <c r="Z34" i="17"/>
  <c r="K34" i="17"/>
  <c r="Z33" i="17"/>
  <c r="K33" i="17"/>
  <c r="U34" i="17"/>
  <c r="U35" i="17"/>
  <c r="L35" i="17" l="1"/>
  <c r="AA35" i="17"/>
  <c r="U36" i="17"/>
  <c r="L34" i="17"/>
  <c r="AA34" i="17"/>
  <c r="Z39" i="17"/>
  <c r="K39" i="17"/>
  <c r="Y39" i="17"/>
  <c r="J39" i="17"/>
  <c r="S40" i="17"/>
  <c r="T40" i="17"/>
  <c r="S41" i="17"/>
  <c r="T41" i="17"/>
  <c r="M32" i="17"/>
  <c r="M31" i="17"/>
  <c r="AB31" i="17"/>
  <c r="V33" i="17"/>
  <c r="M30" i="17"/>
  <c r="AB30" i="17"/>
  <c r="X27" i="16"/>
  <c r="X28" i="16" s="1"/>
  <c r="AA27" i="16"/>
  <c r="AA28" i="16" s="1"/>
  <c r="AA29" i="16" s="1"/>
  <c r="V33" i="16" s="1"/>
  <c r="W27" i="16"/>
  <c r="W28" i="16" s="1"/>
  <c r="W29" i="16" s="1"/>
  <c r="Y29" i="16" l="1"/>
  <c r="V34" i="16" s="1"/>
  <c r="V32" i="16"/>
  <c r="V38" i="16" s="1"/>
  <c r="Z29" i="16"/>
  <c r="V36" i="16" s="1"/>
  <c r="V29" i="16"/>
  <c r="V35" i="16" s="1"/>
  <c r="M33" i="17"/>
  <c r="V34" i="17"/>
  <c r="Z41" i="17"/>
  <c r="K41" i="17"/>
  <c r="Y41" i="17"/>
  <c r="J41" i="17"/>
  <c r="S42" i="17"/>
  <c r="T42" i="17"/>
  <c r="Z40" i="17"/>
  <c r="K40" i="17"/>
  <c r="Y40" i="17"/>
  <c r="J40" i="17"/>
  <c r="S43" i="17"/>
  <c r="T43" i="17"/>
  <c r="S44" i="17"/>
  <c r="T44" i="17"/>
  <c r="AA36" i="17"/>
  <c r="L36" i="17"/>
  <c r="U37" i="17"/>
  <c r="AA37" i="17" l="1"/>
  <c r="L37" i="17"/>
  <c r="U38" i="17"/>
  <c r="U39" i="17"/>
  <c r="Z44" i="17"/>
  <c r="K44" i="17"/>
  <c r="Y44" i="17"/>
  <c r="J44" i="17"/>
  <c r="Z43" i="17"/>
  <c r="K43" i="17"/>
  <c r="Y43" i="17"/>
  <c r="J43" i="17"/>
  <c r="Z42" i="17"/>
  <c r="K42" i="17"/>
  <c r="Y42" i="17"/>
  <c r="J42" i="17"/>
  <c r="S45" i="17"/>
  <c r="T45" i="17"/>
  <c r="M34" i="17"/>
  <c r="V35" i="17"/>
  <c r="V39" i="16"/>
  <c r="V45" i="16" s="1"/>
  <c r="V37" i="16"/>
  <c r="V43" i="16"/>
  <c r="V40" i="16" l="1"/>
  <c r="V44" i="16"/>
  <c r="V46" i="16" s="1"/>
  <c r="D31" i="16" s="1"/>
  <c r="D32" i="16" s="1"/>
  <c r="M35" i="17"/>
  <c r="V36" i="17"/>
  <c r="Z45" i="17"/>
  <c r="K45" i="17"/>
  <c r="Y45" i="17"/>
  <c r="J45" i="17"/>
  <c r="S46" i="17"/>
  <c r="T46" i="17"/>
  <c r="AA39" i="17"/>
  <c r="L39" i="17"/>
  <c r="AA38" i="17"/>
  <c r="L38" i="17"/>
  <c r="U40" i="17"/>
  <c r="AA40" i="17" l="1"/>
  <c r="L40" i="17"/>
  <c r="U41" i="17"/>
  <c r="Z46" i="17"/>
  <c r="K46" i="17"/>
  <c r="Y46" i="17"/>
  <c r="J46" i="17"/>
  <c r="S47" i="17"/>
  <c r="T47" i="17"/>
  <c r="S49" i="17"/>
  <c r="M36" i="17"/>
  <c r="V37" i="17"/>
  <c r="V38" i="17"/>
  <c r="AF7" i="16"/>
  <c r="V41" i="16"/>
  <c r="AF8" i="16" s="1"/>
  <c r="D37" i="16" s="1"/>
  <c r="D42" i="16" s="1"/>
  <c r="D36" i="16" l="1"/>
  <c r="D41" i="16" s="1"/>
  <c r="D43" i="16" s="1"/>
  <c r="D49" i="16" s="1"/>
  <c r="AF12" i="16"/>
  <c r="M38" i="17"/>
  <c r="AB38" i="17"/>
  <c r="M37" i="17"/>
  <c r="V39" i="17"/>
  <c r="Z47" i="17"/>
  <c r="K47" i="17"/>
  <c r="T49" i="17"/>
  <c r="Y47" i="17"/>
  <c r="J47" i="17"/>
  <c r="J49" i="17"/>
  <c r="K49" i="17"/>
  <c r="AA41" i="17"/>
  <c r="L41" i="17"/>
  <c r="U42" i="17"/>
  <c r="AA42" i="17" l="1"/>
  <c r="L42" i="17"/>
  <c r="U43" i="17"/>
  <c r="U44" i="17"/>
  <c r="Z23" i="17"/>
  <c r="Z21" i="17"/>
  <c r="Z20" i="17"/>
  <c r="Z22" i="17"/>
  <c r="Z25" i="17"/>
  <c r="Z24" i="17"/>
  <c r="Y14" i="17"/>
  <c r="Y15" i="17"/>
  <c r="Y16" i="17"/>
  <c r="Y17" i="17"/>
  <c r="Y18" i="17"/>
  <c r="Y19" i="17"/>
  <c r="M39" i="17"/>
  <c r="AB39" i="17"/>
  <c r="V40" i="17"/>
  <c r="M40" i="17" l="1"/>
  <c r="AB40" i="17"/>
  <c r="V41" i="17"/>
  <c r="Y49" i="17"/>
  <c r="J50" i="17" s="1"/>
  <c r="Z49" i="17"/>
  <c r="K50" i="17" s="1"/>
  <c r="AA44" i="17"/>
  <c r="L44" i="17"/>
  <c r="U45" i="17"/>
  <c r="AA43" i="17"/>
  <c r="L43" i="17"/>
  <c r="AA45" i="17" l="1"/>
  <c r="L45" i="17"/>
  <c r="U46" i="17"/>
  <c r="U47" i="17"/>
  <c r="U49" i="17"/>
  <c r="M41" i="17"/>
  <c r="AB41" i="17"/>
  <c r="V42" i="17"/>
  <c r="V43" i="17"/>
  <c r="V44" i="17"/>
  <c r="AB44" i="17" l="1"/>
  <c r="M44" i="17"/>
  <c r="AB43" i="17"/>
  <c r="M43" i="17"/>
  <c r="M42" i="17"/>
  <c r="AB42" i="17"/>
  <c r="V45" i="17"/>
  <c r="V46" i="17"/>
  <c r="V47" i="17"/>
  <c r="AA47" i="17"/>
  <c r="L47" i="17"/>
  <c r="AA46" i="17"/>
  <c r="L46" i="17"/>
  <c r="L49" i="17"/>
  <c r="AA26" i="17" l="1"/>
  <c r="AA27" i="17"/>
  <c r="AA28" i="17"/>
  <c r="AA30" i="17"/>
  <c r="AA29" i="17"/>
  <c r="AA31" i="17"/>
  <c r="AB47" i="17"/>
  <c r="M47" i="17"/>
  <c r="AB46" i="17"/>
  <c r="M46" i="17"/>
  <c r="AB45" i="17"/>
  <c r="M45" i="17"/>
  <c r="V49" i="17"/>
  <c r="M49" i="17"/>
  <c r="AB32" i="17" l="1"/>
  <c r="AB33" i="17"/>
  <c r="AB34" i="17"/>
  <c r="AB35" i="17"/>
  <c r="AB36" i="17"/>
  <c r="AB37" i="17"/>
  <c r="AA49" i="17"/>
  <c r="L50" i="17" s="1"/>
  <c r="AB49" i="17" l="1"/>
  <c r="M50" i="17" s="1"/>
  <c r="K56" i="5" l="1"/>
  <c r="AS13" i="12"/>
  <c r="AW13" i="12"/>
  <c r="AS16" i="12"/>
  <c r="AS15" i="12"/>
  <c r="AO16" i="12"/>
  <c r="AO13" i="12"/>
  <c r="AW16" i="12"/>
  <c r="AW15" i="12"/>
  <c r="BA15" i="12"/>
  <c r="BA16" i="12"/>
  <c r="AW17" i="12"/>
  <c r="D48" i="12"/>
  <c r="AS17" i="12"/>
  <c r="C48" i="12"/>
  <c r="AO17" i="12"/>
  <c r="G48" i="12"/>
  <c r="BA17" i="12"/>
  <c r="E48" i="12"/>
  <c r="AF9" i="16"/>
  <c r="AF10" i="16"/>
  <c r="G53" i="17"/>
  <c r="M53" i="17"/>
  <c r="K53" i="17"/>
  <c r="K57" i="5"/>
  <c r="K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H6" authorId="0" shapeId="0" xr:uid="{BBCB1552-ABEC-468C-BC33-388D6DF9C2F2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Use no seasonality because claims do not follow history due to COVID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D1604DEB-FD48-4A37-ABE3-54F2D4D1111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the reference if needed</t>
        </r>
      </text>
    </comment>
    <comment ref="W8" authorId="0" shapeId="0" xr:uid="{0A49D4C4-1913-43BA-B9DF-3B9BF29BB26D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For 1Q2024, reduced this by one day to simiulate impact of Chinese New Year.</t>
        </r>
      </text>
    </comment>
    <comment ref="G31" authorId="0" shapeId="0" xr:uid="{848D2BDD-6E75-4D8E-B70D-04967790E2C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 Not clear what driving average or trend should be, but we agreed to modify to "working days" calculations and I used the Seasonality Factor column to make that adjustment.  In column M we adjust back to monthly.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<sst xmlns="http://schemas.openxmlformats.org/spreadsheetml/2006/main" count="4003" uniqueCount="1071">
  <si>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</si>
  <si>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</si>
  <si>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</si>
  <si>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</si>
  <si>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</si>
  <si>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</si>
  <si>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</si>
  <si>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</si>
  <si>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</si>
  <si>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</si>
  <si>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</si>
  <si>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</si>
  <si>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</si>
  <si>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</si>
  <si>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</si>
  <si>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</si>
  <si>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</si>
  <si>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</si>
  <si>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</si>
  <si>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</si>
  <si>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</si>
  <si>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</si>
  <si>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</si>
  <si>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</si>
  <si>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</si>
  <si>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</si>
  <si>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</si>
  <si>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</si>
  <si>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</si>
  <si>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</si>
  <si>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</si>
  <si>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</si>
  <si>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</si>
  <si>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</si>
  <si>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</si>
  <si>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</si>
  <si>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</si>
  <si>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</si>
  <si>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</si>
  <si>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</si>
  <si>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</si>
  <si>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</si>
  <si>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</si>
  <si>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</si>
  <si>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</si>
  <si>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</si>
  <si>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</si>
  <si>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</si>
  <si>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</si>
  <si>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</si>
  <si>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</si>
  <si>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</si>
  <si>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</si>
  <si>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</si>
  <si>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</si>
  <si>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</si>
  <si>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</si>
  <si>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</si>
  <si>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</si>
  <si>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</si>
  <si>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</si>
  <si>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</si>
  <si>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</si>
  <si>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</si>
  <si>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</si>
  <si>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</si>
  <si>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</si>
  <si>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</si>
  <si>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</si>
  <si>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</si>
  <si>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</si>
  <si>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</si>
  <si>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</si>
  <si>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</si>
  <si>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</si>
  <si>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</si>
  <si>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</si>
  <si>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</si>
  <si>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</si>
  <si>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</si>
  <si>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</si>
  <si>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</si>
  <si>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</si>
  <si>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</si>
  <si>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</si>
  <si>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</si>
  <si>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</si>
  <si>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</si>
  <si>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</si>
  <si>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</si>
  <si>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</si>
  <si>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</si>
  <si>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</si>
  <si>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</si>
  <si>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</si>
  <si>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</si>
  <si>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</si>
  <si>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</si>
  <si>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</si>
  <si>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</si>
  <si>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</si>
  <si>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</si>
  <si>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</si>
  <si>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</si>
  <si>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</si>
  <si>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</si>
  <si>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</si>
  <si>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</si>
  <si>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</si>
  <si>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</si>
  <si>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</si>
  <si>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</si>
  <si>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</si>
  <si>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</si>
  <si>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</si>
  <si>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</si>
  <si>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</si>
  <si>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</si>
  <si>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</si>
  <si>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</si>
  <si>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</si>
  <si>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</si>
  <si>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</si>
  <si>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</si>
  <si>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</si>
  <si>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</si>
  <si>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</si>
  <si>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</si>
  <si>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</si>
  <si>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</si>
  <si>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</si>
  <si>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</si>
  <si>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</si>
  <si>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</si>
  <si>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</si>
  <si>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</si>
  <si>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</si>
  <si>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</si>
  <si>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</si>
  <si>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</si>
  <si>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</si>
  <si>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</si>
  <si>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</si>
  <si>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</si>
  <si>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</si>
  <si>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</si>
  <si>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</si>
  <si>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</si>
  <si>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</si>
  <si>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</si>
  <si>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</si>
  <si>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</si>
  <si>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</si>
  <si>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</si>
  <si>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</si>
  <si>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</si>
  <si>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</si>
  <si>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</si>
  <si>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</si>
  <si>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</si>
  <si>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</si>
  <si>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</si>
  <si>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</si>
  <si>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</si>
  <si>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</si>
  <si>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</si>
  <si>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</si>
  <si>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</si>
  <si>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</si>
  <si>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</si>
  <si>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</si>
  <si>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</si>
  <si>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</si>
  <si>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</si>
  <si>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</si>
  <si>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</si>
  <si>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</si>
  <si>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</si>
  <si>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</si>
  <si>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</si>
  <si>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</si>
  <si>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</si>
  <si>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</si>
  <si>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</si>
  <si>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</si>
  <si>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</si>
  <si>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</si>
  <si>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</si>
  <si>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</si>
  <si>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</si>
  <si>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</si>
  <si>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</si>
  <si>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</si>
  <si>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</si>
  <si>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</si>
  <si>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</si>
  <si>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</si>
  <si>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</si>
  <si>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</si>
  <si>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</si>
  <si>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</si>
  <si>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</si>
  <si>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</si>
  <si>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</si>
  <si>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</si>
  <si>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</si>
  <si>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</si>
  <si>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</si>
  <si>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</si>
  <si>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</si>
  <si>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</si>
  <si>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</si>
  <si>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</si>
  <si>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</si>
  <si>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</si>
  <si>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</si>
  <si>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</si>
  <si>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</si>
  <si>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</si>
  <si>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</si>
  <si>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</si>
  <si>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</si>
  <si>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</si>
  <si>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</si>
  <si>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</si>
  <si>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</si>
  <si>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</si>
  <si>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</si>
  <si>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</si>
  <si>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</si>
  <si>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</si>
  <si>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</si>
  <si>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</si>
  <si>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</si>
  <si>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</si>
  <si>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</si>
  <si>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</si>
  <si>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</si>
  <si>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</si>
  <si>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</si>
  <si>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</si>
  <si>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</si>
  <si>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</si>
  <si>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</si>
  <si>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</si>
  <si>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</si>
  <si>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</si>
  <si>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</si>
  <si>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</si>
  <si>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</si>
  <si>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</si>
  <si>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</si>
  <si>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</si>
  <si>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</si>
  <si>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</si>
  <si>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</si>
  <si>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</si>
  <si>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</si>
  <si>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</si>
  <si>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</si>
  <si>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</si>
  <si>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</si>
  <si>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</si>
  <si>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</si>
  <si>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</si>
  <si>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</si>
  <si>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</si>
  <si>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</si>
  <si>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</si>
  <si>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</si>
  <si>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</si>
  <si>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</si>
  <si>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</si>
  <si>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</si>
  <si>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</si>
  <si>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</si>
  <si>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</si>
  <si>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</si>
  <si>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</si>
  <si>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</si>
  <si>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</si>
  <si>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</si>
  <si>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</si>
  <si>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</si>
  <si>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</si>
  <si>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</si>
  <si>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</si>
  <si>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</si>
  <si>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</si>
  <si>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</si>
  <si>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</si>
  <si>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</si>
  <si>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</si>
  <si>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</si>
  <si>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</si>
  <si>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</si>
  <si>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</si>
  <si>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</si>
  <si>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</si>
  <si>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</si>
  <si>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</si>
  <si>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</si>
  <si>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</si>
  <si>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</si>
  <si>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</si>
  <si>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</si>
  <si>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</si>
  <si>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</si>
  <si>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</si>
  <si>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</si>
  <si>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</si>
  <si>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</si>
  <si>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</si>
  <si>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</si>
  <si>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</si>
  <si>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</si>
  <si>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</si>
  <si>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</si>
  <si>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</si>
  <si>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</si>
  <si>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</si>
  <si>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</si>
  <si>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</si>
  <si>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</si>
  <si>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</si>
  <si>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</si>
  <si>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</si>
  <si>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</si>
  <si>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</si>
  <si>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</si>
  <si>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</si>
  <si>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</si>
  <si>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</si>
  <si>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</si>
  <si>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</si>
  <si>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</si>
  <si>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</si>
  <si>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</si>
  <si>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</si>
  <si>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</si>
  <si>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</si>
  <si>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</si>
  <si>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</si>
  <si>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</si>
  <si>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</si>
  <si>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</si>
  <si>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</si>
  <si>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</si>
  <si>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</si>
  <si>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</si>
  <si>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</si>
  <si>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</si>
  <si>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</si>
  <si>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</si>
  <si>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</si>
  <si>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</si>
  <si>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</si>
  <si>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</si>
  <si>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</si>
  <si>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</si>
  <si>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</si>
  <si>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</si>
  <si>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</si>
  <si>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</si>
  <si>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</si>
  <si>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</si>
  <si>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</si>
  <si>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</si>
  <si>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</si>
  <si>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</si>
  <si>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</si>
  <si>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</si>
  <si>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</si>
  <si>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</si>
  <si>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</si>
  <si>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</si>
  <si>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</si>
  <si>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</si>
  <si>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</si>
  <si>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</si>
  <si>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</si>
  <si>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</si>
  <si>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</si>
  <si>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</si>
  <si>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</si>
  <si>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</si>
  <si>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</si>
  <si>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</si>
  <si>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</si>
  <si>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</si>
  <si>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</si>
  <si>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</si>
  <si>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</si>
  <si>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</si>
  <si>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</si>
  <si>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</si>
  <si>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</si>
  <si>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</si>
  <si>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</si>
  <si>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</si>
  <si>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</si>
  <si>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</si>
  <si>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</si>
  <si>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</si>
  <si>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</si>
  <si>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</si>
  <si>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</si>
  <si>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</si>
  <si>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</si>
  <si>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</si>
  <si>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</si>
  <si>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</si>
  <si>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</si>
  <si>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</si>
  <si>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</si>
  <si>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</si>
  <si>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</si>
  <si>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</si>
  <si>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</si>
  <si>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</si>
  <si>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</si>
  <si>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</si>
  <si>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</si>
  <si>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</si>
  <si>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</si>
  <si>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</si>
  <si>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</si>
  <si>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</si>
  <si>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</si>
  <si>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</si>
  <si>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</si>
  <si>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</si>
  <si>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</si>
  <si>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</si>
  <si>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</si>
  <si>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</si>
  <si>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</si>
  <si>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</si>
  <si>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</si>
  <si>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</si>
  <si>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</si>
  <si>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</si>
  <si>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</si>
  <si>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</si>
  <si>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</si>
  <si>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</si>
  <si>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</si>
  <si>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</si>
  <si>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</si>
  <si>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</si>
  <si>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</si>
  <si>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</si>
  <si>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</si>
  <si>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</si>
  <si>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</si>
  <si>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</si>
  <si>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</si>
  <si>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</si>
  <si>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</si>
  <si>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</si>
  <si>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</si>
  <si>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</si>
  <si>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</si>
  <si>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</si>
  <si>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</si>
  <si>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</si>
  <si>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</si>
  <si>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</si>
  <si>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</si>
  <si>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</si>
  <si>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</si>
  <si>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</si>
  <si>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</si>
  <si>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</si>
  <si>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</si>
  <si>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</si>
  <si>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</si>
  <si>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</si>
  <si>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</si>
  <si>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</si>
  <si>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</si>
  <si>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</si>
  <si>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</si>
  <si>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</si>
  <si>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</si>
  <si>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</si>
  <si>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</si>
  <si>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</si>
  <si>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</si>
  <si>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</si>
  <si>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</si>
  <si>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</si>
  <si>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</si>
  <si>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</si>
  <si>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</si>
  <si>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</si>
  <si>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</si>
  <si>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</si>
  <si>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</si>
  <si>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</si>
  <si>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</si>
  <si>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</si>
  <si>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</si>
  <si>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</si>
  <si>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</si>
  <si>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</si>
  <si>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</si>
  <si>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</si>
  <si>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</si>
  <si>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</si>
  <si>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</si>
  <si>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</si>
  <si>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</si>
  <si>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</si>
  <si>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</si>
  <si>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</si>
  <si>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</si>
  <si>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</si>
  <si>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</si>
  <si>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</si>
  <si>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</si>
  <si>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</si>
  <si>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</si>
  <si>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</si>
  <si>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</si>
  <si>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</si>
  <si>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</si>
  <si>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</si>
  <si>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</si>
  <si>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</si>
  <si>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</si>
  <si>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</si>
  <si>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</si>
  <si>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</si>
  <si>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</si>
  <si>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</si>
  <si>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</si>
  <si>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</si>
  <si>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</si>
  <si>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</si>
  <si>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</si>
  <si>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</si>
  <si>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</si>
  <si>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</si>
  <si>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</si>
  <si>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</si>
  <si>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</si>
  <si>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</si>
  <si>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</si>
  <si>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</si>
  <si>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</si>
  <si>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</si>
  <si>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</si>
  <si>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</si>
  <si>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</si>
  <si>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</si>
  <si>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</si>
  <si>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</si>
  <si>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</si>
  <si>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</si>
  <si>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</si>
  <si>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</si>
  <si>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</si>
  <si>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</si>
  <si>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</si>
  <si>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</si>
  <si>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</si>
  <si>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</si>
  <si>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</si>
  <si>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</si>
  <si>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</si>
  <si>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</si>
  <si>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</si>
  <si>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</si>
  <si>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</si>
  <si>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</si>
  <si>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</si>
  <si>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</si>
  <si>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</si>
  <si>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</si>
  <si>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</si>
  <si>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</si>
  <si>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</si>
  <si>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</si>
  <si>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</si>
  <si>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</si>
  <si>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</si>
  <si>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</si>
  <si>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</si>
  <si>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</si>
  <si>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</si>
  <si>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</si>
  <si>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</si>
  <si>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</si>
  <si>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</si>
  <si>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</si>
  <si>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</si>
  <si>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</si>
  <si>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</si>
  <si>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</si>
  <si>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</si>
  <si>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</si>
  <si>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</si>
  <si>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</si>
  <si>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</si>
  <si>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</si>
  <si>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</si>
  <si>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</si>
  <si>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</si>
  <si>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</si>
  <si>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</si>
  <si>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</si>
  <si>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</si>
  <si>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</si>
  <si>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</si>
  <si>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</si>
  <si>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</si>
  <si>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</si>
  <si>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</si>
  <si>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</si>
  <si>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</si>
  <si>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</si>
  <si>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</si>
  <si>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</si>
  <si>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</si>
  <si>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</si>
  <si>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</si>
  <si>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</si>
  <si>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</si>
  <si>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</si>
  <si>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</si>
  <si>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</si>
  <si>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</si>
  <si>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</si>
  <si>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</si>
  <si>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</si>
  <si>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</si>
  <si>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</si>
  <si>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</si>
  <si>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</si>
  <si>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</si>
  <si>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</si>
  <si>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</si>
  <si>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</si>
  <si>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</si>
  <si>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</si>
  <si>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</si>
  <si>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</si>
  <si>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</si>
  <si>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</si>
  <si>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</si>
  <si>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</si>
  <si>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</si>
  <si>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</si>
  <si>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</si>
  <si>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</si>
  <si>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</si>
  <si>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</si>
  <si>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</si>
  <si>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</si>
  <si>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</si>
  <si>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</si>
  <si>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</si>
  <si>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</si>
  <si>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</si>
  <si>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</si>
  <si>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</si>
  <si>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</si>
  <si>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</si>
  <si>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</si>
  <si>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</si>
  <si>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</si>
  <si>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</si>
  <si>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</si>
  <si>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</si>
  <si>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</si>
  <si>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</si>
  <si>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</si>
  <si>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</si>
  <si>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</si>
  <si>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</si>
  <si>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</si>
  <si>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</si>
  <si>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</si>
  <si>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</si>
  <si>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</si>
  <si>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</si>
  <si>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</si>
  <si>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</si>
  <si>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</si>
  <si>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</si>
  <si>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</si>
  <si>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</si>
  <si>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</si>
  <si>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</si>
  <si>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</si>
  <si>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</si>
  <si>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</si>
  <si>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</si>
  <si>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</si>
  <si>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</si>
  <si>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</si>
  <si>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</si>
  <si>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</si>
  <si>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</si>
  <si>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</si>
  <si>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</si>
  <si>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</si>
  <si>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</si>
  <si>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</si>
  <si>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</si>
  <si>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</si>
  <si>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</si>
  <si>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</si>
  <si>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</si>
  <si>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</si>
  <si>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</si>
  <si>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</si>
  <si>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</si>
  <si>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</si>
  <si>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</si>
  <si>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</si>
  <si>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</si>
  <si>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</si>
  <si>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</si>
  <si>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</si>
  <si>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</si>
  <si>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</si>
  <si>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</si>
  <si>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</si>
  <si>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</si>
  <si>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</si>
  <si>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</si>
  <si>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</si>
  <si>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</si>
  <si>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</si>
  <si>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</si>
  <si>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</si>
  <si>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</si>
  <si>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</si>
  <si>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</si>
  <si>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</si>
  <si>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</si>
  <si>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</si>
  <si>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</si>
  <si>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</si>
  <si>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</si>
  <si>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</si>
  <si>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</si>
  <si>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</si>
  <si>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</si>
  <si>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</si>
  <si>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</si>
  <si>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</si>
  <si>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</si>
  <si>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</si>
  <si>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</si>
  <si>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</si>
  <si>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</si>
  <si>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</si>
  <si>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</si>
  <si>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</si>
  <si>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</si>
  <si>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</si>
  <si>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</si>
  <si>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</si>
  <si>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</si>
  <si>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</si>
  <si>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</si>
  <si>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</si>
  <si>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</si>
  <si>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</si>
  <si>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</si>
  <si>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</si>
  <si>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</si>
  <si>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</si>
  <si>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</si>
  <si>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</si>
  <si>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</si>
  <si>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</si>
  <si>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</si>
  <si>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</si>
  <si>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</si>
  <si>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</si>
  <si>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</si>
  <si>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</si>
  <si>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</si>
  <si>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</si>
  <si>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</si>
  <si>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</si>
  <si>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</si>
  <si>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</si>
  <si>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</si>
  <si>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</si>
  <si>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</si>
  <si>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</si>
  <si>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</si>
  <si>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</si>
  <si>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</si>
  <si>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</si>
  <si>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</si>
  <si>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</si>
  <si>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</si>
  <si>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</si>
  <si>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</si>
  <si>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</si>
  <si>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</si>
  <si>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</si>
  <si>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</si>
  <si>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</si>
  <si>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</si>
  <si>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</si>
  <si>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</si>
  <si>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</si>
  <si>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</si>
  <si>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</si>
  <si>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</si>
  <si>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</si>
  <si>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</si>
  <si>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</si>
  <si>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</si>
  <si>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</si>
  <si>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</si>
  <si>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</si>
  <si>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</si>
  <si>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</si>
  <si>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</si>
  <si>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</si>
  <si>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</si>
  <si>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</si>
  <si>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</si>
  <si>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</si>
  <si>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</si>
  <si>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</si>
  <si>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</si>
  <si>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</si>
  <si>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</si>
  <si>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</si>
  <si>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</si>
  <si>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</si>
  <si>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</si>
  <si>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</si>
  <si>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</si>
  <si>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</si>
  <si>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</si>
  <si>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</si>
  <si>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</si>
  <si>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</si>
  <si>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</si>
  <si>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</si>
  <si>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</si>
  <si>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</si>
  <si>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</si>
  <si>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</si>
  <si>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</si>
  <si>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</si>
  <si>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</si>
  <si>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</si>
  <si>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</si>
  <si>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</si>
  <si>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</si>
  <si>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</si>
  <si>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</si>
  <si>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</si>
  <si>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</si>
  <si>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</si>
  <si>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</si>
  <si>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</si>
  <si>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</si>
  <si>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</si>
  <si>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</si>
  <si>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</si>
  <si>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</si>
  <si>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</si>
  <si>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</si>
  <si>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</si>
  <si>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</si>
  <si>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</si>
  <si>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</si>
  <si>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</si>
  <si>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</si>
  <si>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</si>
  <si>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</si>
  <si>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</si>
  <si>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</si>
  <si>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</si>
  <si>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</si>
  <si>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</si>
  <si>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</si>
  <si>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</si>
  <si>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</si>
  <si>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</si>
  <si>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</si>
  <si>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</si>
  <si>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</si>
  <si>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</si>
  <si>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</si>
  <si>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</si>
  <si>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</si>
  <si>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</si>
  <si>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</si>
  <si>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</si>
  <si>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</si>
  <si>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</si>
  <si>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</si>
  <si>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</si>
  <si>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</si>
  <si>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</si>
  <si>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</si>
  <si>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</si>
  <si>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</si>
  <si>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</si>
  <si>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</si>
  <si>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</si>
  <si>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</si>
  <si>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</si>
  <si>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</si>
  <si>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</si>
  <si>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</si>
  <si>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</si>
  <si>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</si>
  <si>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</si>
  <si>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</si>
  <si>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</si>
  <si>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</si>
  <si>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</si>
  <si>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</si>
  <si>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</si>
  <si>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</si>
  <si>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</si>
  <si>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</si>
  <si>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</si>
  <si>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</si>
  <si>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</si>
  <si>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</si>
  <si>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</si>
  <si>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</si>
  <si>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</si>
  <si>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</si>
  <si>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</si>
  <si>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</si>
  <si>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</si>
  <si>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</si>
  <si>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</si>
  <si>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</si>
  <si>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</si>
  <si>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</si>
  <si>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</si>
  <si>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</si>
  <si>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</si>
  <si>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</si>
  <si>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</si>
  <si>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</si>
  <si>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</si>
  <si>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</si>
  <si>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</si>
  <si>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</si>
  <si>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</si>
  <si>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</si>
  <si>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</si>
  <si>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</si>
  <si>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</si>
  <si>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</si>
  <si>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</si>
  <si>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</si>
  <si>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</si>
  <si>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</si>
  <si>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</si>
  <si>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</si>
  <si>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</si>
  <si>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</si>
  <si>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</si>
  <si>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</si>
  <si>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</si>
  <si>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</si>
  <si>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</si>
  <si>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</si>
  <si>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</si>
  <si>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</si>
  <si>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</si>
  <si>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</si>
  <si>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</si>
  <si>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</si>
  <si>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</si>
  <si>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</si>
  <si>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</si>
  <si>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</si>
  <si>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</si>
  <si>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</si>
  <si>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</si>
  <si>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</si>
  <si>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</si>
  <si>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</si>
  <si>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</si>
  <si>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</si>
  <si>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</si>
  <si>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</si>
  <si>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</si>
  <si>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</si>
  <si>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</si>
  <si>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</si>
  <si>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</si>
  <si>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</si>
  <si>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</si>
  <si>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</si>
  <si>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</si>
  <si>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</si>
  <si>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</si>
  <si>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</si>
  <si>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</si>
  <si>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</si>
  <si>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</si>
  <si>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</si>
  <si>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</si>
  <si>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</si>
  <si>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</si>
  <si>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</si>
  <si>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</si>
  <si>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</si>
  <si>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</si>
  <si>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</si>
  <si>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</si>
  <si>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</si>
  <si>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</si>
  <si>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</si>
  <si>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</si>
  <si>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</si>
  <si>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</si>
  <si>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</si>
  <si>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</si>
  <si>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</si>
  <si>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</si>
  <si>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</si>
  <si>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</si>
  <si>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</si>
  <si>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</si>
  <si>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</si>
  <si>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</si>
  <si>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</si>
  <si>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</si>
  <si>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</si>
  <si>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</si>
  <si>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</si>
  <si>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</si>
  <si>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</si>
  <si>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</si>
  <si>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</si>
  <si>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</si>
  <si>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</si>
  <si>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</si>
  <si>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</si>
  <si>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</si>
  <si>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</si>
  <si>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</si>
  <si>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</si>
  <si>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</si>
  <si>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</si>
  <si>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</si>
  <si>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</si>
  <si>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</si>
  <si>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</si>
  <si>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</si>
  <si>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</si>
  <si>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</si>
  <si>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</si>
  <si>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</si>
  <si>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</si>
  <si>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</si>
  <si>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</si>
  <si>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</si>
  <si>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Allied Pacific (APC Medicare)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</si>
</sst>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  <numFmt numFmtId="189" formatCode="_(* #,##0.000000_);_(* \(#,##0.000000\);_(* &quot;-&quot;??_);_(@_)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635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172" fontId="0" fillId="12" borderId="1" xfId="0" applyNumberFormat="1" applyFill="1" applyBorder="1" applyProtection="1">
      <protection locked="0"/>
    </xf>
    <xf numFmtId="172" fontId="0" fillId="12" borderId="1" xfId="0" applyNumberFormat="1" applyFill="1" applyBorder="1"/>
    <xf numFmtId="1" fontId="0" fillId="0" borderId="0" xfId="0" applyNumberFormat="1"/>
    <xf numFmtId="189" fontId="0" fillId="0" borderId="0" xfId="1" applyNumberFormat="1" applyFont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" fontId="0" fillId="6" borderId="0" xfId="0" applyNumberFormat="1" applyFill="1"/>
  </cellXfs>
  <cellStyles count="4">
    <cellStyle name="Comma" xfId="1" builtinId="3"/>
    <cellStyle name="Normal" xfId="0" builtinId="0"/>
    <cellStyle name="Normal 2" xfId="3" xr:uid="{CA956A68-2FAD-4C86-B5C1-5D0ACDC0CECE}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7671371.4494060259</c:v>
                </c:pt>
                <c:pt idx="3">
                  <c:v>8937624.6294060163</c:v>
                </c:pt>
                <c:pt idx="4">
                  <c:v>9280611.3494060189</c:v>
                </c:pt>
                <c:pt idx="5">
                  <c:v>9082549.8494060226</c:v>
                </c:pt>
                <c:pt idx="6">
                  <c:v>8823137.3094060086</c:v>
                </c:pt>
                <c:pt idx="7">
                  <c:v>8758758.7294060215</c:v>
                </c:pt>
                <c:pt idx="8">
                  <c:v>8221252.489406012</c:v>
                </c:pt>
                <c:pt idx="9">
                  <c:v>7947988.5794059858</c:v>
                </c:pt>
                <c:pt idx="10">
                  <c:v>7828049.9194059893</c:v>
                </c:pt>
                <c:pt idx="11">
                  <c:v>7674813.5294059888</c:v>
                </c:pt>
                <c:pt idx="12">
                  <c:v>7289720.3994059935</c:v>
                </c:pt>
                <c:pt idx="13">
                  <c:v>7309269.5286273584</c:v>
                </c:pt>
                <c:pt idx="14">
                  <c:v>6902528.5930062309</c:v>
                </c:pt>
                <c:pt idx="15">
                  <c:v>7014103.1084651276</c:v>
                </c:pt>
                <c:pt idx="16">
                  <c:v>6980782.90524894</c:v>
                </c:pt>
                <c:pt idx="17">
                  <c:v>7046724.3140656352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100.89458698895866</c:v>
                </c:pt>
                <c:pt idx="1">
                  <c:v>99.675216059479581</c:v>
                </c:pt>
                <c:pt idx="2">
                  <c:v>107.90997929051117</c:v>
                </c:pt>
                <c:pt idx="3">
                  <c:v>108.29673471066521</c:v>
                </c:pt>
                <c:pt idx="4">
                  <c:v>114.76950676537243</c:v>
                </c:pt>
                <c:pt idx="5">
                  <c:v>117.72995171430985</c:v>
                </c:pt>
                <c:pt idx="6">
                  <c:v>120.89931746925885</c:v>
                </c:pt>
                <c:pt idx="7">
                  <c:v>115.59056958502657</c:v>
                </c:pt>
                <c:pt idx="8">
                  <c:v>113.25598207637394</c:v>
                </c:pt>
                <c:pt idx="9">
                  <c:v>102.7346430156375</c:v>
                </c:pt>
                <c:pt idx="10">
                  <c:v>106.26468310460019</c:v>
                </c:pt>
                <c:pt idx="11">
                  <c:v>124.49229284762997</c:v>
                </c:pt>
                <c:pt idx="12">
                  <c:v>113.56621836616137</c:v>
                </c:pt>
                <c:pt idx="13">
                  <c:v>115.66601498146562</c:v>
                </c:pt>
                <c:pt idx="14">
                  <c:v>118.30206184091573</c:v>
                </c:pt>
                <c:pt idx="15">
                  <c:v>114.10729288341315</c:v>
                </c:pt>
                <c:pt idx="16">
                  <c:v>129.16391567246009</c:v>
                </c:pt>
                <c:pt idx="17">
                  <c:v>125.48836903657812</c:v>
                </c:pt>
                <c:pt idx="18">
                  <c:v>127.23851035141863</c:v>
                </c:pt>
                <c:pt idx="19">
                  <c:v>119.53416202431487</c:v>
                </c:pt>
                <c:pt idx="20">
                  <c:v>119.87264833936263</c:v>
                </c:pt>
                <c:pt idx="21">
                  <c:v>116.01377592746509</c:v>
                </c:pt>
                <c:pt idx="22">
                  <c:v>117.47706354236719</c:v>
                </c:pt>
                <c:pt idx="23">
                  <c:v>133.5639877149807</c:v>
                </c:pt>
                <c:pt idx="24">
                  <c:v>118.6059679653001</c:v>
                </c:pt>
                <c:pt idx="25">
                  <c:v>124.33723938124062</c:v>
                </c:pt>
                <c:pt idx="26">
                  <c:v>126.52959469531471</c:v>
                </c:pt>
                <c:pt idx="27">
                  <c:v>123.03063866882034</c:v>
                </c:pt>
                <c:pt idx="28">
                  <c:v>133.99423057285816</c:v>
                </c:pt>
                <c:pt idx="29">
                  <c:v>129.29934720211332</c:v>
                </c:pt>
                <c:pt idx="30">
                  <c:v>149.11806151825849</c:v>
                </c:pt>
                <c:pt idx="31">
                  <c:v>143.55464408573698</c:v>
                </c:pt>
                <c:pt idx="32">
                  <c:v>132.5937408676709</c:v>
                </c:pt>
                <c:pt idx="33">
                  <c:v>127.00956481623867</c:v>
                </c:pt>
                <c:pt idx="34">
                  <c:v>119.78322264291478</c:v>
                </c:pt>
                <c:pt idx="35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107.81544144598891</c:v>
                </c:pt>
                <c:pt idx="2">
                  <c:v>108.5671440804085</c:v>
                </c:pt>
                <c:pt idx="3">
                  <c:v>109.32408767885906</c:v>
                </c:pt>
                <c:pt idx="4">
                  <c:v>110.08630878199189</c:v>
                </c:pt>
                <c:pt idx="5">
                  <c:v>110.8538441852245</c:v>
                </c:pt>
                <c:pt idx="6">
                  <c:v>111.62673094051665</c:v>
                </c:pt>
                <c:pt idx="7">
                  <c:v>112.40500635815863</c:v>
                </c:pt>
                <c:pt idx="8">
                  <c:v>113.18870800857312</c:v>
                </c:pt>
                <c:pt idx="9">
                  <c:v>113.97787372412803</c:v>
                </c:pt>
                <c:pt idx="10">
                  <c:v>114.77254160096365</c:v>
                </c:pt>
                <c:pt idx="11">
                  <c:v>115.57275000083089</c:v>
                </c:pt>
                <c:pt idx="12">
                  <c:v>116.37853755294383</c:v>
                </c:pt>
                <c:pt idx="13">
                  <c:v>117.18994315584423</c:v>
                </c:pt>
                <c:pt idx="14">
                  <c:v>118.00700597927903</c:v>
                </c:pt>
                <c:pt idx="15">
                  <c:v>118.82976546609187</c:v>
                </c:pt>
                <c:pt idx="16">
                  <c:v>119.65826133412641</c:v>
                </c:pt>
                <c:pt idx="17">
                  <c:v>120.49253357814433</c:v>
                </c:pt>
                <c:pt idx="18">
                  <c:v>121.3326224717558</c:v>
                </c:pt>
                <c:pt idx="19">
                  <c:v>122.17856856936321</c:v>
                </c:pt>
                <c:pt idx="20">
                  <c:v>123.03041270811974</c:v>
                </c:pt>
                <c:pt idx="21">
                  <c:v>123.88819600989986</c:v>
                </c:pt>
                <c:pt idx="22">
                  <c:v>124.75195988328512</c:v>
                </c:pt>
                <c:pt idx="23">
                  <c:v>125.62174602556291</c:v>
                </c:pt>
                <c:pt idx="24">
                  <c:v>126.49759642473887</c:v>
                </c:pt>
                <c:pt idx="25">
                  <c:v>127.37955336156473</c:v>
                </c:pt>
                <c:pt idx="26">
                  <c:v>128.26765941157839</c:v>
                </c:pt>
                <c:pt idx="27">
                  <c:v>129.16195744716006</c:v>
                </c:pt>
                <c:pt idx="28">
                  <c:v>130.06249063960141</c:v>
                </c:pt>
                <c:pt idx="29">
                  <c:v>130.9693024611895</c:v>
                </c:pt>
                <c:pt idx="30">
                  <c:v>131.8824366873059</c:v>
                </c:pt>
                <c:pt idx="31">
                  <c:v>132.80193739853922</c:v>
                </c:pt>
                <c:pt idx="32">
                  <c:v>133.72784898281378</c:v>
                </c:pt>
                <c:pt idx="33">
                  <c:v>134.66021613753162</c:v>
                </c:pt>
                <c:pt idx="34">
                  <c:v>135.59908387173093</c:v>
                </c:pt>
                <c:pt idx="35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114.05519439180196</c:v>
                </c:pt>
                <c:pt idx="11">
                  <c:v>114.89934986556719</c:v>
                </c:pt>
                <c:pt idx="12">
                  <c:v>115.74975317808881</c:v>
                </c:pt>
                <c:pt idx="13">
                  <c:v>116.60645057142806</c:v>
                </c:pt>
                <c:pt idx="14">
                  <c:v>117.46948862989706</c:v>
                </c:pt>
                <c:pt idx="15">
                  <c:v>118.33891428259201</c:v>
                </c:pt>
                <c:pt idx="16">
                  <c:v>119.2147748059446</c:v>
                </c:pt>
                <c:pt idx="17">
                  <c:v>120.09711782629336</c:v>
                </c:pt>
                <c:pt idx="18">
                  <c:v>120.98599132247304</c:v>
                </c:pt>
                <c:pt idx="19">
                  <c:v>121.8814436284236</c:v>
                </c:pt>
                <c:pt idx="20">
                  <c:v>122.78352343581848</c:v>
                </c:pt>
                <c:pt idx="21">
                  <c:v>123.69227979671237</c:v>
                </c:pt>
                <c:pt idx="22">
                  <c:v>124.6077621262081</c:v>
                </c:pt>
                <c:pt idx="23">
                  <c:v>125.53002020514427</c:v>
                </c:pt>
                <c:pt idx="24">
                  <c:v>126.45910418280175</c:v>
                </c:pt>
                <c:pt idx="25">
                  <c:v>127.39506457963076</c:v>
                </c:pt>
                <c:pt idx="26">
                  <c:v>128.33795228999793</c:v>
                </c:pt>
                <c:pt idx="27">
                  <c:v>129.28781858495401</c:v>
                </c:pt>
                <c:pt idx="28">
                  <c:v>130.24471511502122</c:v>
                </c:pt>
                <c:pt idx="29">
                  <c:v>131.20869391300258</c:v>
                </c:pt>
                <c:pt idx="30">
                  <c:v>132.17980739681079</c:v>
                </c:pt>
                <c:pt idx="31">
                  <c:v>133.15810837231876</c:v>
                </c:pt>
                <c:pt idx="32">
                  <c:v>134.14365003623089</c:v>
                </c:pt>
                <c:pt idx="33">
                  <c:v>135.13648597897586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119.66679605529622</c:v>
                </c:pt>
                <c:pt idx="17">
                  <c:v>120.50584414736228</c:v>
                </c:pt>
                <c:pt idx="18">
                  <c:v>121.35077525563662</c:v>
                </c:pt>
                <c:pt idx="19">
                  <c:v>122.20163062910154</c:v>
                </c:pt>
                <c:pt idx="20">
                  <c:v>123.05845180595763</c:v>
                </c:pt>
                <c:pt idx="21">
                  <c:v>123.92128061565252</c:v>
                </c:pt>
                <c:pt idx="22">
                  <c:v>124.79015918092209</c:v>
                </c:pt>
                <c:pt idx="23">
                  <c:v>125.66512991984779</c:v>
                </c:pt>
                <c:pt idx="24">
                  <c:v>126.5462355479265</c:v>
                </c:pt>
                <c:pt idx="25">
                  <c:v>127.43351908015683</c:v>
                </c:pt>
                <c:pt idx="26">
                  <c:v>128.32702383313818</c:v>
                </c:pt>
                <c:pt idx="27">
                  <c:v>129.22679342718627</c:v>
                </c:pt>
                <c:pt idx="28">
                  <c:v>130.13287178846184</c:v>
                </c:pt>
                <c:pt idx="29">
                  <c:v>131.04530315111597</c:v>
                </c:pt>
                <c:pt idx="30">
                  <c:v>131.96413205944859</c:v>
                </c:pt>
                <c:pt idx="31">
                  <c:v>132.88940337008407</c:v>
                </c:pt>
                <c:pt idx="32">
                  <c:v>133.82116225416021</c:v>
                </c:pt>
                <c:pt idx="33">
                  <c:v>134.75945419953439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122.34107990088678</c:v>
                </c:pt>
                <c:pt idx="23">
                  <c:v>123.61495901032175</c:v>
                </c:pt>
                <c:pt idx="24">
                  <c:v>124.90210241321212</c:v>
                </c:pt>
                <c:pt idx="25">
                  <c:v>126.20264822429688</c:v>
                </c:pt>
                <c:pt idx="26">
                  <c:v>127.51673599643806</c:v>
                </c:pt>
                <c:pt idx="27">
                  <c:v>128.84450673559436</c:v>
                </c:pt>
                <c:pt idx="28">
                  <c:v>130.18610291595257</c:v>
                </c:pt>
                <c:pt idx="29">
                  <c:v>131.54166849521445</c:v>
                </c:pt>
                <c:pt idx="30">
                  <c:v>132.91134893004491</c:v>
                </c:pt>
                <c:pt idx="31">
                  <c:v>134.29529119167913</c:v>
                </c:pt>
                <c:pt idx="32">
                  <c:v>135.69364378169342</c:v>
                </c:pt>
                <c:pt idx="33">
                  <c:v>137.10655674794032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156"/>
          <c:min val="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127.23851035141863</c:v>
                </c:pt>
                <c:pt idx="1">
                  <c:v>119.53416202431487</c:v>
                </c:pt>
                <c:pt idx="2">
                  <c:v>119.87264833936263</c:v>
                </c:pt>
                <c:pt idx="3">
                  <c:v>116.01377592746509</c:v>
                </c:pt>
                <c:pt idx="4">
                  <c:v>117.47706354236719</c:v>
                </c:pt>
                <c:pt idx="5">
                  <c:v>133.5639877149807</c:v>
                </c:pt>
                <c:pt idx="6">
                  <c:v>118.6059679653001</c:v>
                </c:pt>
                <c:pt idx="7">
                  <c:v>124.33723938124062</c:v>
                </c:pt>
                <c:pt idx="8">
                  <c:v>126.52959469531471</c:v>
                </c:pt>
                <c:pt idx="9">
                  <c:v>123.03063866882034</c:v>
                </c:pt>
                <c:pt idx="10">
                  <c:v>133.99423057285816</c:v>
                </c:pt>
                <c:pt idx="11">
                  <c:v>129.29934720211332</c:v>
                </c:pt>
                <c:pt idx="12">
                  <c:v>149.11806151825849</c:v>
                </c:pt>
                <c:pt idx="13">
                  <c:v>143.55464408573698</c:v>
                </c:pt>
                <c:pt idx="14">
                  <c:v>132.5937408676709</c:v>
                </c:pt>
                <c:pt idx="15">
                  <c:v>127.00956481623867</c:v>
                </c:pt>
                <c:pt idx="16">
                  <c:v>119.78322264291478</c:v>
                </c:pt>
                <c:pt idx="17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121.3326224717558</c:v>
                </c:pt>
                <c:pt idx="1">
                  <c:v>122.17856856936321</c:v>
                </c:pt>
                <c:pt idx="2">
                  <c:v>123.03041270811974</c:v>
                </c:pt>
                <c:pt idx="3">
                  <c:v>123.88819600989986</c:v>
                </c:pt>
                <c:pt idx="4">
                  <c:v>124.75195988328512</c:v>
                </c:pt>
                <c:pt idx="5">
                  <c:v>125.62174602556291</c:v>
                </c:pt>
                <c:pt idx="6">
                  <c:v>126.49759642473887</c:v>
                </c:pt>
                <c:pt idx="7">
                  <c:v>127.37955336156473</c:v>
                </c:pt>
                <c:pt idx="8">
                  <c:v>128.26765941157839</c:v>
                </c:pt>
                <c:pt idx="9">
                  <c:v>129.16195744716006</c:v>
                </c:pt>
                <c:pt idx="10">
                  <c:v>130.06249063960141</c:v>
                </c:pt>
                <c:pt idx="11">
                  <c:v>130.9693024611895</c:v>
                </c:pt>
                <c:pt idx="12">
                  <c:v>131.8824366873059</c:v>
                </c:pt>
                <c:pt idx="13">
                  <c:v>132.80193739853922</c:v>
                </c:pt>
                <c:pt idx="14">
                  <c:v>133.72784898281378</c:v>
                </c:pt>
                <c:pt idx="15">
                  <c:v>134.66021613753162</c:v>
                </c:pt>
                <c:pt idx="16">
                  <c:v>135.59908387173093</c:v>
                </c:pt>
                <c:pt idx="17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120.98599132247304</c:v>
                </c:pt>
                <c:pt idx="1">
                  <c:v>121.8814436284236</c:v>
                </c:pt>
                <c:pt idx="2">
                  <c:v>122.78352343581848</c:v>
                </c:pt>
                <c:pt idx="3">
                  <c:v>123.69227979671237</c:v>
                </c:pt>
                <c:pt idx="4">
                  <c:v>124.6077621262081</c:v>
                </c:pt>
                <c:pt idx="5">
                  <c:v>125.53002020514427</c:v>
                </c:pt>
                <c:pt idx="6">
                  <c:v>126.45910418280175</c:v>
                </c:pt>
                <c:pt idx="7">
                  <c:v>127.39506457963076</c:v>
                </c:pt>
                <c:pt idx="8">
                  <c:v>128.33795228999793</c:v>
                </c:pt>
                <c:pt idx="9">
                  <c:v>129.28781858495401</c:v>
                </c:pt>
                <c:pt idx="10">
                  <c:v>130.24471511502122</c:v>
                </c:pt>
                <c:pt idx="11">
                  <c:v>131.20869391300258</c:v>
                </c:pt>
                <c:pt idx="12">
                  <c:v>132.17980739681079</c:v>
                </c:pt>
                <c:pt idx="13">
                  <c:v>133.15810837231876</c:v>
                </c:pt>
                <c:pt idx="14">
                  <c:v>134.14365003623089</c:v>
                </c:pt>
                <c:pt idx="15">
                  <c:v>135.13648597897586</c:v>
                </c:pt>
                <c:pt idx="16">
                  <c:v>136.1366701876203</c:v>
                </c:pt>
                <c:pt idx="17">
                  <c:v>137.14425704880503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0.86723044385625625</c:v>
                </c:pt>
                <c:pt idx="3">
                  <c:v>0.92704466688224663</c:v>
                </c:pt>
                <c:pt idx="4">
                  <c:v>0.9465889990995926</c:v>
                </c:pt>
                <c:pt idx="5">
                  <c:v>0.9537112389836917</c:v>
                </c:pt>
                <c:pt idx="6">
                  <c:v>0.96110288740340877</c:v>
                </c:pt>
                <c:pt idx="7">
                  <c:v>0.96722497018109532</c:v>
                </c:pt>
                <c:pt idx="8">
                  <c:v>0.9722013057641864</c:v>
                </c:pt>
                <c:pt idx="9">
                  <c:v>0.97611358624165678</c:v>
                </c:pt>
                <c:pt idx="10">
                  <c:v>0.9799161262525885</c:v>
                </c:pt>
                <c:pt idx="11">
                  <c:v>0.98292117696525372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0.82155703006404168</c:v>
                </c:pt>
                <c:pt idx="3">
                  <c:v>0.8954392849361742</c:v>
                </c:pt>
                <c:pt idx="4">
                  <c:v>0.92566551582853052</c:v>
                </c:pt>
                <c:pt idx="5">
                  <c:v>0.93992390439053208</c:v>
                </c:pt>
                <c:pt idx="6">
                  <c:v>0.94878242864628126</c:v>
                </c:pt>
                <c:pt idx="7">
                  <c:v>0.95677546360043197</c:v>
                </c:pt>
                <c:pt idx="8">
                  <c:v>0.96296588117227178</c:v>
                </c:pt>
                <c:pt idx="9">
                  <c:v>0.96781139785063397</c:v>
                </c:pt>
                <c:pt idx="10">
                  <c:v>0.9713970326111252</c:v>
                </c:pt>
                <c:pt idx="11">
                  <c:v>0.97477468765721198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0.87028286804875155</c:v>
                </c:pt>
                <c:pt idx="3">
                  <c:v>0.93041684822830339</c:v>
                </c:pt>
                <c:pt idx="4">
                  <c:v>0.95024245116176265</c:v>
                </c:pt>
                <c:pt idx="5">
                  <c:v>0.95725967042590221</c:v>
                </c:pt>
                <c:pt idx="6">
                  <c:v>0.96420977627190563</c:v>
                </c:pt>
                <c:pt idx="7">
                  <c:v>0.97041354804821212</c:v>
                </c:pt>
                <c:pt idx="8">
                  <c:v>0.9751594094397521</c:v>
                </c:pt>
                <c:pt idx="9">
                  <c:v>0.97903304048193573</c:v>
                </c:pt>
                <c:pt idx="10">
                  <c:v>0.98288802332264402</c:v>
                </c:pt>
                <c:pt idx="11">
                  <c:v>0.9859409689318529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4688230.1524083707</c:v>
                </c:pt>
                <c:pt idx="1">
                  <c:v>4411169.1811832916</c:v>
                </c:pt>
                <c:pt idx="2">
                  <c:v>4430972.5732161999</c:v>
                </c:pt>
                <c:pt idx="3">
                  <c:v>4355041.134541112</c:v>
                </c:pt>
                <c:pt idx="4">
                  <c:v>4416080.295621125</c:v>
                </c:pt>
                <c:pt idx="5">
                  <c:v>5057934.6507786037</c:v>
                </c:pt>
                <c:pt idx="6">
                  <c:v>4539169</c:v>
                </c:pt>
                <c:pt idx="7">
                  <c:v>4806629</c:v>
                </c:pt>
                <c:pt idx="8">
                  <c:v>4923140</c:v>
                </c:pt>
                <c:pt idx="9">
                  <c:v>4798564</c:v>
                </c:pt>
                <c:pt idx="10">
                  <c:v>5248822</c:v>
                </c:pt>
                <c:pt idx="11">
                  <c:v>5090386</c:v>
                </c:pt>
                <c:pt idx="12">
                  <c:v>5904777</c:v>
                </c:pt>
                <c:pt idx="13">
                  <c:v>5424930</c:v>
                </c:pt>
                <c:pt idx="14">
                  <c:v>4990961</c:v>
                </c:pt>
                <c:pt idx="15">
                  <c:v>4129716</c:v>
                </c:pt>
                <c:pt idx="16">
                  <c:v>3859655</c:v>
                </c:pt>
                <c:pt idx="17">
                  <c:v>4467229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1.9703032546388026</c:v>
                </c:pt>
                <c:pt idx="1">
                  <c:v>1.3541882868700801</c:v>
                </c:pt>
                <c:pt idx="2">
                  <c:v>1.3091605828770831</c:v>
                </c:pt>
                <c:pt idx="3">
                  <c:v>1.6158398339019835</c:v>
                </c:pt>
                <c:pt idx="4">
                  <c:v>2.0576352708641736</c:v>
                </c:pt>
                <c:pt idx="5">
                  <c:v>1.4387885331659314</c:v>
                </c:pt>
                <c:pt idx="6">
                  <c:v>1.7952011743107614</c:v>
                </c:pt>
                <c:pt idx="7">
                  <c:v>1.5149523779382967</c:v>
                </c:pt>
                <c:pt idx="8">
                  <c:v>1.3379411698781707</c:v>
                </c:pt>
                <c:pt idx="9">
                  <c:v>1.6165545564957222</c:v>
                </c:pt>
                <c:pt idx="10">
                  <c:v>1.6396761994997362</c:v>
                </c:pt>
                <c:pt idx="11">
                  <c:v>1.7104329921582144</c:v>
                </c:pt>
                <c:pt idx="12">
                  <c:v>1.3306447428196719</c:v>
                </c:pt>
                <c:pt idx="13">
                  <c:v>1.6605872177576302</c:v>
                </c:pt>
                <c:pt idx="14">
                  <c:v>1.7008069137955482</c:v>
                </c:pt>
                <c:pt idx="15">
                  <c:v>1.8393085614325182</c:v>
                </c:pt>
                <c:pt idx="16">
                  <c:v>2.0979528479062588</c:v>
                </c:pt>
                <c:pt idx="17">
                  <c:v>1.9243978929621472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33510</c:v>
                </c:pt>
                <c:pt idx="1">
                  <c:v>33625</c:v>
                </c:pt>
                <c:pt idx="2">
                  <c:v>33715</c:v>
                </c:pt>
                <c:pt idx="3">
                  <c:v>33923</c:v>
                </c:pt>
                <c:pt idx="4">
                  <c:v>34003</c:v>
                </c:pt>
                <c:pt idx="5">
                  <c:v>34128</c:v>
                </c:pt>
                <c:pt idx="6">
                  <c:v>34275</c:v>
                </c:pt>
                <c:pt idx="7">
                  <c:v>34312</c:v>
                </c:pt>
                <c:pt idx="8">
                  <c:v>34368</c:v>
                </c:pt>
                <c:pt idx="9">
                  <c:v>34854</c:v>
                </c:pt>
                <c:pt idx="10">
                  <c:v>34805</c:v>
                </c:pt>
                <c:pt idx="11">
                  <c:v>34838</c:v>
                </c:pt>
                <c:pt idx="12">
                  <c:v>34912</c:v>
                </c:pt>
                <c:pt idx="13">
                  <c:v>35020</c:v>
                </c:pt>
                <c:pt idx="14">
                  <c:v>35204</c:v>
                </c:pt>
                <c:pt idx="15">
                  <c:v>35445</c:v>
                </c:pt>
                <c:pt idx="16">
                  <c:v>35634</c:v>
                </c:pt>
                <c:pt idx="17">
                  <c:v>35855</c:v>
                </c:pt>
                <c:pt idx="18">
                  <c:v>36846</c:v>
                </c:pt>
                <c:pt idx="19">
                  <c:v>36903</c:v>
                </c:pt>
                <c:pt idx="20">
                  <c:v>36964</c:v>
                </c:pt>
                <c:pt idx="21">
                  <c:v>37539</c:v>
                </c:pt>
                <c:pt idx="22">
                  <c:v>37591</c:v>
                </c:pt>
                <c:pt idx="23">
                  <c:v>37869</c:v>
                </c:pt>
                <c:pt idx="24">
                  <c:v>38271</c:v>
                </c:pt>
                <c:pt idx="25">
                  <c:v>38658</c:v>
                </c:pt>
                <c:pt idx="26">
                  <c:v>38909</c:v>
                </c:pt>
                <c:pt idx="27">
                  <c:v>39003</c:v>
                </c:pt>
                <c:pt idx="28">
                  <c:v>39172</c:v>
                </c:pt>
                <c:pt idx="29">
                  <c:v>39369</c:v>
                </c:pt>
                <c:pt idx="30">
                  <c:v>39598</c:v>
                </c:pt>
                <c:pt idx="31">
                  <c:v>37790</c:v>
                </c:pt>
                <c:pt idx="32">
                  <c:v>37641</c:v>
                </c:pt>
                <c:pt idx="33">
                  <c:v>32515</c:v>
                </c:pt>
                <c:pt idx="34">
                  <c:v>32222</c:v>
                </c:pt>
                <c:pt idx="35">
                  <c:v>31959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100.89458698895866</c:v>
                </c:pt>
                <c:pt idx="1">
                  <c:v>99.675216059479581</c:v>
                </c:pt>
                <c:pt idx="2">
                  <c:v>107.90997929051117</c:v>
                </c:pt>
                <c:pt idx="3">
                  <c:v>108.29673471066521</c:v>
                </c:pt>
                <c:pt idx="4">
                  <c:v>114.76950676537243</c:v>
                </c:pt>
                <c:pt idx="5">
                  <c:v>117.72995171430985</c:v>
                </c:pt>
                <c:pt idx="6">
                  <c:v>120.89931746925885</c:v>
                </c:pt>
                <c:pt idx="7">
                  <c:v>115.59056958502657</c:v>
                </c:pt>
                <c:pt idx="8">
                  <c:v>113.25598207637394</c:v>
                </c:pt>
                <c:pt idx="9">
                  <c:v>102.7346430156375</c:v>
                </c:pt>
                <c:pt idx="10">
                  <c:v>106.26468310460019</c:v>
                </c:pt>
                <c:pt idx="11">
                  <c:v>124.49229284762997</c:v>
                </c:pt>
                <c:pt idx="12">
                  <c:v>113.56621836616137</c:v>
                </c:pt>
                <c:pt idx="13">
                  <c:v>115.66601498146562</c:v>
                </c:pt>
                <c:pt idx="14">
                  <c:v>118.30206184091573</c:v>
                </c:pt>
                <c:pt idx="15">
                  <c:v>114.10729288341315</c:v>
                </c:pt>
                <c:pt idx="16">
                  <c:v>129.16391567246009</c:v>
                </c:pt>
                <c:pt idx="17">
                  <c:v>125.48836903657812</c:v>
                </c:pt>
                <c:pt idx="18">
                  <c:v>127.23851035141863</c:v>
                </c:pt>
                <c:pt idx="19">
                  <c:v>119.53416202431487</c:v>
                </c:pt>
                <c:pt idx="20">
                  <c:v>119.87264833936263</c:v>
                </c:pt>
                <c:pt idx="21">
                  <c:v>116.01377592746509</c:v>
                </c:pt>
                <c:pt idx="22">
                  <c:v>117.47706354236719</c:v>
                </c:pt>
                <c:pt idx="23">
                  <c:v>133.5639877149807</c:v>
                </c:pt>
                <c:pt idx="24">
                  <c:v>118.6059679653001</c:v>
                </c:pt>
                <c:pt idx="25">
                  <c:v>124.33723938124062</c:v>
                </c:pt>
                <c:pt idx="26">
                  <c:v>126.52959469531471</c:v>
                </c:pt>
                <c:pt idx="27">
                  <c:v>123.03063866882034</c:v>
                </c:pt>
                <c:pt idx="28">
                  <c:v>133.99423057285816</c:v>
                </c:pt>
                <c:pt idx="29">
                  <c:v>129.29934720211332</c:v>
                </c:pt>
                <c:pt idx="30">
                  <c:v>149.11806151825849</c:v>
                </c:pt>
                <c:pt idx="31">
                  <c:v>143.55464408573698</c:v>
                </c:pt>
                <c:pt idx="32">
                  <c:v>132.5937408676709</c:v>
                </c:pt>
                <c:pt idx="33">
                  <c:v>127.00956481623867</c:v>
                </c:pt>
                <c:pt idx="34">
                  <c:v>119.78322264291478</c:v>
                </c:pt>
                <c:pt idx="35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107.81544144598891</c:v>
                </c:pt>
                <c:pt idx="2">
                  <c:v>108.5671440804085</c:v>
                </c:pt>
                <c:pt idx="3">
                  <c:v>109.32408767885906</c:v>
                </c:pt>
                <c:pt idx="4">
                  <c:v>110.08630878199189</c:v>
                </c:pt>
                <c:pt idx="5">
                  <c:v>110.8538441852245</c:v>
                </c:pt>
                <c:pt idx="6">
                  <c:v>111.62673094051665</c:v>
                </c:pt>
                <c:pt idx="7">
                  <c:v>112.40500635815863</c:v>
                </c:pt>
                <c:pt idx="8">
                  <c:v>113.18870800857312</c:v>
                </c:pt>
                <c:pt idx="9">
                  <c:v>113.97787372412803</c:v>
                </c:pt>
                <c:pt idx="10">
                  <c:v>114.77254160096365</c:v>
                </c:pt>
                <c:pt idx="11">
                  <c:v>115.57275000083089</c:v>
                </c:pt>
                <c:pt idx="12">
                  <c:v>116.37853755294383</c:v>
                </c:pt>
                <c:pt idx="13">
                  <c:v>117.18994315584423</c:v>
                </c:pt>
                <c:pt idx="14">
                  <c:v>118.00700597927903</c:v>
                </c:pt>
                <c:pt idx="15">
                  <c:v>118.82976546609187</c:v>
                </c:pt>
                <c:pt idx="16">
                  <c:v>119.65826133412641</c:v>
                </c:pt>
                <c:pt idx="17">
                  <c:v>120.49253357814433</c:v>
                </c:pt>
                <c:pt idx="18">
                  <c:v>121.3326224717558</c:v>
                </c:pt>
                <c:pt idx="19">
                  <c:v>122.17856856936321</c:v>
                </c:pt>
                <c:pt idx="20">
                  <c:v>123.03041270811974</c:v>
                </c:pt>
                <c:pt idx="21">
                  <c:v>123.88819600989986</c:v>
                </c:pt>
                <c:pt idx="22">
                  <c:v>124.75195988328512</c:v>
                </c:pt>
                <c:pt idx="23">
                  <c:v>125.62174602556291</c:v>
                </c:pt>
                <c:pt idx="24">
                  <c:v>126.49759642473887</c:v>
                </c:pt>
                <c:pt idx="25">
                  <c:v>127.37955336156473</c:v>
                </c:pt>
                <c:pt idx="26">
                  <c:v>128.26765941157839</c:v>
                </c:pt>
                <c:pt idx="27">
                  <c:v>129.16195744716006</c:v>
                </c:pt>
                <c:pt idx="28">
                  <c:v>130.06249063960141</c:v>
                </c:pt>
                <c:pt idx="29">
                  <c:v>130.9693024611895</c:v>
                </c:pt>
                <c:pt idx="30">
                  <c:v>131.8824366873059</c:v>
                </c:pt>
                <c:pt idx="31">
                  <c:v>132.80193739853922</c:v>
                </c:pt>
                <c:pt idx="32">
                  <c:v>133.72784898281378</c:v>
                </c:pt>
                <c:pt idx="33">
                  <c:v>134.66021613753162</c:v>
                </c:pt>
                <c:pt idx="34">
                  <c:v>135.59908387173093</c:v>
                </c:pt>
                <c:pt idx="35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114.05519439180196</c:v>
                </c:pt>
                <c:pt idx="11">
                  <c:v>114.89934986556719</c:v>
                </c:pt>
                <c:pt idx="12">
                  <c:v>115.74975317808881</c:v>
                </c:pt>
                <c:pt idx="13">
                  <c:v>116.60645057142806</c:v>
                </c:pt>
                <c:pt idx="14">
                  <c:v>117.46948862989706</c:v>
                </c:pt>
                <c:pt idx="15">
                  <c:v>118.33891428259201</c:v>
                </c:pt>
                <c:pt idx="16">
                  <c:v>119.2147748059446</c:v>
                </c:pt>
                <c:pt idx="17">
                  <c:v>120.09711782629336</c:v>
                </c:pt>
                <c:pt idx="18">
                  <c:v>120.98599132247304</c:v>
                </c:pt>
                <c:pt idx="19">
                  <c:v>121.8814436284236</c:v>
                </c:pt>
                <c:pt idx="20">
                  <c:v>122.78352343581848</c:v>
                </c:pt>
                <c:pt idx="21">
                  <c:v>123.69227979671237</c:v>
                </c:pt>
                <c:pt idx="22">
                  <c:v>124.6077621262081</c:v>
                </c:pt>
                <c:pt idx="23">
                  <c:v>125.53002020514427</c:v>
                </c:pt>
                <c:pt idx="24">
                  <c:v>126.45910418280175</c:v>
                </c:pt>
                <c:pt idx="25">
                  <c:v>127.39506457963076</c:v>
                </c:pt>
                <c:pt idx="26">
                  <c:v>128.33795228999793</c:v>
                </c:pt>
                <c:pt idx="27">
                  <c:v>129.28781858495401</c:v>
                </c:pt>
                <c:pt idx="28">
                  <c:v>130.24471511502122</c:v>
                </c:pt>
                <c:pt idx="29">
                  <c:v>131.20869391300258</c:v>
                </c:pt>
                <c:pt idx="30">
                  <c:v>132.17980739681079</c:v>
                </c:pt>
                <c:pt idx="31">
                  <c:v>133.15810837231876</c:v>
                </c:pt>
                <c:pt idx="32">
                  <c:v>134.14365003623089</c:v>
                </c:pt>
                <c:pt idx="33">
                  <c:v>135.13648597897586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119.66679605529622</c:v>
                </c:pt>
                <c:pt idx="17">
                  <c:v>120.50584414736228</c:v>
                </c:pt>
                <c:pt idx="18">
                  <c:v>121.35077525563662</c:v>
                </c:pt>
                <c:pt idx="19">
                  <c:v>122.20163062910154</c:v>
                </c:pt>
                <c:pt idx="20">
                  <c:v>123.05845180595763</c:v>
                </c:pt>
                <c:pt idx="21">
                  <c:v>123.92128061565252</c:v>
                </c:pt>
                <c:pt idx="22">
                  <c:v>124.79015918092209</c:v>
                </c:pt>
                <c:pt idx="23">
                  <c:v>125.66512991984779</c:v>
                </c:pt>
                <c:pt idx="24">
                  <c:v>126.5462355479265</c:v>
                </c:pt>
                <c:pt idx="25">
                  <c:v>127.43351908015683</c:v>
                </c:pt>
                <c:pt idx="26">
                  <c:v>128.32702383313818</c:v>
                </c:pt>
                <c:pt idx="27">
                  <c:v>129.22679342718627</c:v>
                </c:pt>
                <c:pt idx="28">
                  <c:v>130.13287178846184</c:v>
                </c:pt>
                <c:pt idx="29">
                  <c:v>131.04530315111597</c:v>
                </c:pt>
                <c:pt idx="30">
                  <c:v>131.96413205944859</c:v>
                </c:pt>
                <c:pt idx="31">
                  <c:v>132.88940337008407</c:v>
                </c:pt>
                <c:pt idx="32">
                  <c:v>133.82116225416021</c:v>
                </c:pt>
                <c:pt idx="33">
                  <c:v>134.75945419953439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122.34107990088678</c:v>
                </c:pt>
                <c:pt idx="23">
                  <c:v>123.61495901032175</c:v>
                </c:pt>
                <c:pt idx="24">
                  <c:v>124.90210241321212</c:v>
                </c:pt>
                <c:pt idx="25">
                  <c:v>126.20264822429688</c:v>
                </c:pt>
                <c:pt idx="26">
                  <c:v>127.51673599643806</c:v>
                </c:pt>
                <c:pt idx="27">
                  <c:v>128.84450673559436</c:v>
                </c:pt>
                <c:pt idx="28">
                  <c:v>130.18610291595257</c:v>
                </c:pt>
                <c:pt idx="29">
                  <c:v>131.54166849521445</c:v>
                </c:pt>
                <c:pt idx="30">
                  <c:v>132.91134893004491</c:v>
                </c:pt>
                <c:pt idx="31">
                  <c:v>134.29529119167913</c:v>
                </c:pt>
                <c:pt idx="32">
                  <c:v>135.69364378169342</c:v>
                </c:pt>
                <c:pt idx="33">
                  <c:v>137.10655674794032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156"/>
          <c:min val="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127.23851035141863</c:v>
                </c:pt>
                <c:pt idx="1">
                  <c:v>119.53416202431487</c:v>
                </c:pt>
                <c:pt idx="2">
                  <c:v>119.87264833936263</c:v>
                </c:pt>
                <c:pt idx="3">
                  <c:v>116.01377592746509</c:v>
                </c:pt>
                <c:pt idx="4">
                  <c:v>117.47706354236719</c:v>
                </c:pt>
                <c:pt idx="5">
                  <c:v>133.5639877149807</c:v>
                </c:pt>
                <c:pt idx="6">
                  <c:v>118.6059679653001</c:v>
                </c:pt>
                <c:pt idx="7">
                  <c:v>124.33723938124062</c:v>
                </c:pt>
                <c:pt idx="8">
                  <c:v>126.52959469531471</c:v>
                </c:pt>
                <c:pt idx="9">
                  <c:v>123.03063866882034</c:v>
                </c:pt>
                <c:pt idx="10">
                  <c:v>133.99423057285816</c:v>
                </c:pt>
                <c:pt idx="11">
                  <c:v>129.29934720211332</c:v>
                </c:pt>
                <c:pt idx="12">
                  <c:v>149.11806151825849</c:v>
                </c:pt>
                <c:pt idx="13">
                  <c:v>143.55464408573698</c:v>
                </c:pt>
                <c:pt idx="14">
                  <c:v>132.5937408676709</c:v>
                </c:pt>
                <c:pt idx="15">
                  <c:v>127.00956481623867</c:v>
                </c:pt>
                <c:pt idx="16">
                  <c:v>119.78322264291478</c:v>
                </c:pt>
                <c:pt idx="17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121.3326224717558</c:v>
                </c:pt>
                <c:pt idx="1">
                  <c:v>122.17856856936321</c:v>
                </c:pt>
                <c:pt idx="2">
                  <c:v>123.03041270811974</c:v>
                </c:pt>
                <c:pt idx="3">
                  <c:v>123.88819600989986</c:v>
                </c:pt>
                <c:pt idx="4">
                  <c:v>124.75195988328512</c:v>
                </c:pt>
                <c:pt idx="5">
                  <c:v>125.62174602556291</c:v>
                </c:pt>
                <c:pt idx="6">
                  <c:v>126.49759642473887</c:v>
                </c:pt>
                <c:pt idx="7">
                  <c:v>127.37955336156473</c:v>
                </c:pt>
                <c:pt idx="8">
                  <c:v>128.26765941157839</c:v>
                </c:pt>
                <c:pt idx="9">
                  <c:v>129.16195744716006</c:v>
                </c:pt>
                <c:pt idx="10">
                  <c:v>130.06249063960141</c:v>
                </c:pt>
                <c:pt idx="11">
                  <c:v>130.9693024611895</c:v>
                </c:pt>
                <c:pt idx="12">
                  <c:v>131.8824366873059</c:v>
                </c:pt>
                <c:pt idx="13">
                  <c:v>132.80193739853922</c:v>
                </c:pt>
                <c:pt idx="14">
                  <c:v>133.72784898281378</c:v>
                </c:pt>
                <c:pt idx="15">
                  <c:v>134.66021613753162</c:v>
                </c:pt>
                <c:pt idx="16">
                  <c:v>135.59908387173093</c:v>
                </c:pt>
                <c:pt idx="17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120.98599132247304</c:v>
                </c:pt>
                <c:pt idx="1">
                  <c:v>121.8814436284236</c:v>
                </c:pt>
                <c:pt idx="2">
                  <c:v>122.78352343581848</c:v>
                </c:pt>
                <c:pt idx="3">
                  <c:v>123.69227979671237</c:v>
                </c:pt>
                <c:pt idx="4">
                  <c:v>124.6077621262081</c:v>
                </c:pt>
                <c:pt idx="5">
                  <c:v>125.53002020514427</c:v>
                </c:pt>
                <c:pt idx="6">
                  <c:v>126.45910418280175</c:v>
                </c:pt>
                <c:pt idx="7">
                  <c:v>127.39506457963076</c:v>
                </c:pt>
                <c:pt idx="8">
                  <c:v>128.33795228999793</c:v>
                </c:pt>
                <c:pt idx="9">
                  <c:v>129.28781858495401</c:v>
                </c:pt>
                <c:pt idx="10">
                  <c:v>130.24471511502122</c:v>
                </c:pt>
                <c:pt idx="11">
                  <c:v>131.20869391300258</c:v>
                </c:pt>
                <c:pt idx="12">
                  <c:v>132.17980739681079</c:v>
                </c:pt>
                <c:pt idx="13">
                  <c:v>133.15810837231876</c:v>
                </c:pt>
                <c:pt idx="14">
                  <c:v>134.14365003623089</c:v>
                </c:pt>
                <c:pt idx="15">
                  <c:v>135.13648597897586</c:v>
                </c:pt>
                <c:pt idx="16">
                  <c:v>136.1366701876203</c:v>
                </c:pt>
                <c:pt idx="17">
                  <c:v>137.14425704880503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0.86723044385625625</c:v>
                </c:pt>
                <c:pt idx="3">
                  <c:v>0.92704466688224663</c:v>
                </c:pt>
                <c:pt idx="4">
                  <c:v>0.9465889990995926</c:v>
                </c:pt>
                <c:pt idx="5">
                  <c:v>0.9537112389836917</c:v>
                </c:pt>
                <c:pt idx="6">
                  <c:v>0.96110288740340877</c:v>
                </c:pt>
                <c:pt idx="7">
                  <c:v>0.96722497018109532</c:v>
                </c:pt>
                <c:pt idx="8">
                  <c:v>0.9722013057641864</c:v>
                </c:pt>
                <c:pt idx="9">
                  <c:v>0.97611358624165678</c:v>
                </c:pt>
                <c:pt idx="10">
                  <c:v>0.9799161262525885</c:v>
                </c:pt>
                <c:pt idx="11">
                  <c:v>0.98292117696525372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0.82155703006404168</c:v>
                </c:pt>
                <c:pt idx="3">
                  <c:v>0.8954392849361742</c:v>
                </c:pt>
                <c:pt idx="4">
                  <c:v>0.92566551582853052</c:v>
                </c:pt>
                <c:pt idx="5">
                  <c:v>0.93992390439053208</c:v>
                </c:pt>
                <c:pt idx="6">
                  <c:v>0.94878242864628126</c:v>
                </c:pt>
                <c:pt idx="7">
                  <c:v>0.95677546360043197</c:v>
                </c:pt>
                <c:pt idx="8">
                  <c:v>0.96296588117227178</c:v>
                </c:pt>
                <c:pt idx="9">
                  <c:v>0.96781139785063397</c:v>
                </c:pt>
                <c:pt idx="10">
                  <c:v>0.9713970326111252</c:v>
                </c:pt>
                <c:pt idx="11">
                  <c:v>0.97477468765721198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0.87028286804875155</c:v>
                </c:pt>
                <c:pt idx="3">
                  <c:v>0.93041684822830339</c:v>
                </c:pt>
                <c:pt idx="4">
                  <c:v>0.95024245116176265</c:v>
                </c:pt>
                <c:pt idx="5">
                  <c:v>0.95725967042590221</c:v>
                </c:pt>
                <c:pt idx="6">
                  <c:v>0.96420977627190563</c:v>
                </c:pt>
                <c:pt idx="7">
                  <c:v>0.97041354804821212</c:v>
                </c:pt>
                <c:pt idx="8">
                  <c:v>0.9751594094397521</c:v>
                </c:pt>
                <c:pt idx="9">
                  <c:v>0.97903304048193573</c:v>
                </c:pt>
                <c:pt idx="10">
                  <c:v>0.98288802332264402</c:v>
                </c:pt>
                <c:pt idx="11">
                  <c:v>0.9859409689318529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4688230.1524083707</c:v>
                </c:pt>
                <c:pt idx="1">
                  <c:v>4411169.1811832916</c:v>
                </c:pt>
                <c:pt idx="2">
                  <c:v>4430972.5732161999</c:v>
                </c:pt>
                <c:pt idx="3">
                  <c:v>4355041.134541112</c:v>
                </c:pt>
                <c:pt idx="4">
                  <c:v>4416080.295621125</c:v>
                </c:pt>
                <c:pt idx="5">
                  <c:v>5057934.6507786037</c:v>
                </c:pt>
                <c:pt idx="6">
                  <c:v>4539169</c:v>
                </c:pt>
                <c:pt idx="7">
                  <c:v>4806629</c:v>
                </c:pt>
                <c:pt idx="8">
                  <c:v>4923140</c:v>
                </c:pt>
                <c:pt idx="9">
                  <c:v>4798564</c:v>
                </c:pt>
                <c:pt idx="10">
                  <c:v>5248822</c:v>
                </c:pt>
                <c:pt idx="11">
                  <c:v>5090386</c:v>
                </c:pt>
                <c:pt idx="12">
                  <c:v>5904777</c:v>
                </c:pt>
                <c:pt idx="13">
                  <c:v>5424930</c:v>
                </c:pt>
                <c:pt idx="14">
                  <c:v>4990961</c:v>
                </c:pt>
                <c:pt idx="15">
                  <c:v>4129716</c:v>
                </c:pt>
                <c:pt idx="16">
                  <c:v>3859655</c:v>
                </c:pt>
                <c:pt idx="17">
                  <c:v>4467229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1.9703032546388026</c:v>
                </c:pt>
                <c:pt idx="1">
                  <c:v>1.3541882868700801</c:v>
                </c:pt>
                <c:pt idx="2">
                  <c:v>1.3091605828770831</c:v>
                </c:pt>
                <c:pt idx="3">
                  <c:v>1.6158398339019835</c:v>
                </c:pt>
                <c:pt idx="4">
                  <c:v>2.0576352708641736</c:v>
                </c:pt>
                <c:pt idx="5">
                  <c:v>1.4387885331659314</c:v>
                </c:pt>
                <c:pt idx="6">
                  <c:v>1.7952011743107614</c:v>
                </c:pt>
                <c:pt idx="7">
                  <c:v>1.5149523779382967</c:v>
                </c:pt>
                <c:pt idx="8">
                  <c:v>1.3379411698781707</c:v>
                </c:pt>
                <c:pt idx="9">
                  <c:v>1.6165545564957222</c:v>
                </c:pt>
                <c:pt idx="10">
                  <c:v>1.6396761994997362</c:v>
                </c:pt>
                <c:pt idx="11">
                  <c:v>1.7104329921582144</c:v>
                </c:pt>
                <c:pt idx="12">
                  <c:v>1.3306447428196719</c:v>
                </c:pt>
                <c:pt idx="13">
                  <c:v>1.6605872177576302</c:v>
                </c:pt>
                <c:pt idx="14">
                  <c:v>1.7008069137955482</c:v>
                </c:pt>
                <c:pt idx="15">
                  <c:v>1.8393085614325182</c:v>
                </c:pt>
                <c:pt idx="16">
                  <c:v>2.0979528479062588</c:v>
                </c:pt>
                <c:pt idx="17">
                  <c:v>1.9243978929621472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33510</c:v>
                </c:pt>
                <c:pt idx="1">
                  <c:v>33625</c:v>
                </c:pt>
                <c:pt idx="2">
                  <c:v>33715</c:v>
                </c:pt>
                <c:pt idx="3">
                  <c:v>33923</c:v>
                </c:pt>
                <c:pt idx="4">
                  <c:v>34003</c:v>
                </c:pt>
                <c:pt idx="5">
                  <c:v>34128</c:v>
                </c:pt>
                <c:pt idx="6">
                  <c:v>34275</c:v>
                </c:pt>
                <c:pt idx="7">
                  <c:v>34312</c:v>
                </c:pt>
                <c:pt idx="8">
                  <c:v>34368</c:v>
                </c:pt>
                <c:pt idx="9">
                  <c:v>34854</c:v>
                </c:pt>
                <c:pt idx="10">
                  <c:v>34805</c:v>
                </c:pt>
                <c:pt idx="11">
                  <c:v>34838</c:v>
                </c:pt>
                <c:pt idx="12">
                  <c:v>34912</c:v>
                </c:pt>
                <c:pt idx="13">
                  <c:v>35020</c:v>
                </c:pt>
                <c:pt idx="14">
                  <c:v>35204</c:v>
                </c:pt>
                <c:pt idx="15">
                  <c:v>35445</c:v>
                </c:pt>
                <c:pt idx="16">
                  <c:v>35634</c:v>
                </c:pt>
                <c:pt idx="17">
                  <c:v>35855</c:v>
                </c:pt>
                <c:pt idx="18">
                  <c:v>36846</c:v>
                </c:pt>
                <c:pt idx="19">
                  <c:v>36903</c:v>
                </c:pt>
                <c:pt idx="20">
                  <c:v>36964</c:v>
                </c:pt>
                <c:pt idx="21">
                  <c:v>37539</c:v>
                </c:pt>
                <c:pt idx="22">
                  <c:v>37591</c:v>
                </c:pt>
                <c:pt idx="23">
                  <c:v>37869</c:v>
                </c:pt>
                <c:pt idx="24">
                  <c:v>38271</c:v>
                </c:pt>
                <c:pt idx="25">
                  <c:v>38658</c:v>
                </c:pt>
                <c:pt idx="26">
                  <c:v>38909</c:v>
                </c:pt>
                <c:pt idx="27">
                  <c:v>39003</c:v>
                </c:pt>
                <c:pt idx="28">
                  <c:v>39172</c:v>
                </c:pt>
                <c:pt idx="29">
                  <c:v>39369</c:v>
                </c:pt>
                <c:pt idx="30">
                  <c:v>39598</c:v>
                </c:pt>
                <c:pt idx="31">
                  <c:v>37790</c:v>
                </c:pt>
                <c:pt idx="32">
                  <c:v>37641</c:v>
                </c:pt>
                <c:pt idx="33">
                  <c:v>32515</c:v>
                </c:pt>
                <c:pt idx="34">
                  <c:v>32222</c:v>
                </c:pt>
                <c:pt idx="35">
                  <c:v>31959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100.89458698895866</c:v>
                </c:pt>
                <c:pt idx="1">
                  <c:v>99.675216059479581</c:v>
                </c:pt>
                <c:pt idx="2">
                  <c:v>107.90997929051117</c:v>
                </c:pt>
                <c:pt idx="3">
                  <c:v>108.29673471066521</c:v>
                </c:pt>
                <c:pt idx="4">
                  <c:v>114.76950676537243</c:v>
                </c:pt>
                <c:pt idx="5">
                  <c:v>117.72995171430985</c:v>
                </c:pt>
                <c:pt idx="6">
                  <c:v>120.89931746925885</c:v>
                </c:pt>
                <c:pt idx="7">
                  <c:v>115.59056958502657</c:v>
                </c:pt>
                <c:pt idx="8">
                  <c:v>113.25598207637394</c:v>
                </c:pt>
                <c:pt idx="9">
                  <c:v>102.7346430156375</c:v>
                </c:pt>
                <c:pt idx="10">
                  <c:v>106.26468310460019</c:v>
                </c:pt>
                <c:pt idx="11">
                  <c:v>124.49229284762997</c:v>
                </c:pt>
                <c:pt idx="12">
                  <c:v>113.56621836616137</c:v>
                </c:pt>
                <c:pt idx="13">
                  <c:v>115.66601498146562</c:v>
                </c:pt>
                <c:pt idx="14">
                  <c:v>118.30206184091573</c:v>
                </c:pt>
                <c:pt idx="15">
                  <c:v>114.10729288341315</c:v>
                </c:pt>
                <c:pt idx="16">
                  <c:v>129.16391567246009</c:v>
                </c:pt>
                <c:pt idx="17">
                  <c:v>125.48836903657812</c:v>
                </c:pt>
                <c:pt idx="18">
                  <c:v>127.23851035141863</c:v>
                </c:pt>
                <c:pt idx="19">
                  <c:v>119.53416202431487</c:v>
                </c:pt>
                <c:pt idx="20">
                  <c:v>119.87264833936263</c:v>
                </c:pt>
                <c:pt idx="21">
                  <c:v>116.01377592746509</c:v>
                </c:pt>
                <c:pt idx="22">
                  <c:v>117.47706354236719</c:v>
                </c:pt>
                <c:pt idx="23">
                  <c:v>133.5639877149807</c:v>
                </c:pt>
                <c:pt idx="24">
                  <c:v>118.6059679653001</c:v>
                </c:pt>
                <c:pt idx="25">
                  <c:v>124.33723938124062</c:v>
                </c:pt>
                <c:pt idx="26">
                  <c:v>126.52959469531471</c:v>
                </c:pt>
                <c:pt idx="27">
                  <c:v>123.03063866882034</c:v>
                </c:pt>
                <c:pt idx="28">
                  <c:v>133.99423057285816</c:v>
                </c:pt>
                <c:pt idx="29">
                  <c:v>129.29934720211332</c:v>
                </c:pt>
                <c:pt idx="30">
                  <c:v>149.11806151825849</c:v>
                </c:pt>
                <c:pt idx="31">
                  <c:v>143.55464408573698</c:v>
                </c:pt>
                <c:pt idx="32">
                  <c:v>132.5937408676709</c:v>
                </c:pt>
                <c:pt idx="33">
                  <c:v>127.00956481623867</c:v>
                </c:pt>
                <c:pt idx="34">
                  <c:v>119.78322264291478</c:v>
                </c:pt>
                <c:pt idx="35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107.81544144598891</c:v>
                </c:pt>
                <c:pt idx="2">
                  <c:v>108.5671440804085</c:v>
                </c:pt>
                <c:pt idx="3">
                  <c:v>109.32408767885906</c:v>
                </c:pt>
                <c:pt idx="4">
                  <c:v>110.08630878199189</c:v>
                </c:pt>
                <c:pt idx="5">
                  <c:v>110.8538441852245</c:v>
                </c:pt>
                <c:pt idx="6">
                  <c:v>111.62673094051665</c:v>
                </c:pt>
                <c:pt idx="7">
                  <c:v>112.40500635815863</c:v>
                </c:pt>
                <c:pt idx="8">
                  <c:v>113.18870800857312</c:v>
                </c:pt>
                <c:pt idx="9">
                  <c:v>113.97787372412803</c:v>
                </c:pt>
                <c:pt idx="10">
                  <c:v>114.77254160096365</c:v>
                </c:pt>
                <c:pt idx="11">
                  <c:v>115.57275000083089</c:v>
                </c:pt>
                <c:pt idx="12">
                  <c:v>116.37853755294383</c:v>
                </c:pt>
                <c:pt idx="13">
                  <c:v>117.18994315584423</c:v>
                </c:pt>
                <c:pt idx="14">
                  <c:v>118.00700597927903</c:v>
                </c:pt>
                <c:pt idx="15">
                  <c:v>118.82976546609187</c:v>
                </c:pt>
                <c:pt idx="16">
                  <c:v>119.65826133412641</c:v>
                </c:pt>
                <c:pt idx="17">
                  <c:v>120.49253357814433</c:v>
                </c:pt>
                <c:pt idx="18">
                  <c:v>121.3326224717558</c:v>
                </c:pt>
                <c:pt idx="19">
                  <c:v>122.17856856936321</c:v>
                </c:pt>
                <c:pt idx="20">
                  <c:v>123.03041270811974</c:v>
                </c:pt>
                <c:pt idx="21">
                  <c:v>123.88819600989986</c:v>
                </c:pt>
                <c:pt idx="22">
                  <c:v>124.75195988328512</c:v>
                </c:pt>
                <c:pt idx="23">
                  <c:v>125.62174602556291</c:v>
                </c:pt>
                <c:pt idx="24">
                  <c:v>126.49759642473887</c:v>
                </c:pt>
                <c:pt idx="25">
                  <c:v>127.37955336156473</c:v>
                </c:pt>
                <c:pt idx="26">
                  <c:v>128.26765941157839</c:v>
                </c:pt>
                <c:pt idx="27">
                  <c:v>129.16195744716006</c:v>
                </c:pt>
                <c:pt idx="28">
                  <c:v>130.06249063960141</c:v>
                </c:pt>
                <c:pt idx="29">
                  <c:v>130.9693024611895</c:v>
                </c:pt>
                <c:pt idx="30">
                  <c:v>131.8824366873059</c:v>
                </c:pt>
                <c:pt idx="31">
                  <c:v>132.80193739853922</c:v>
                </c:pt>
                <c:pt idx="32">
                  <c:v>133.72784898281378</c:v>
                </c:pt>
                <c:pt idx="33">
                  <c:v>134.66021613753162</c:v>
                </c:pt>
                <c:pt idx="34">
                  <c:v>135.59908387173093</c:v>
                </c:pt>
                <c:pt idx="35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114.05519439180196</c:v>
                </c:pt>
                <c:pt idx="11">
                  <c:v>114.89934986556719</c:v>
                </c:pt>
                <c:pt idx="12">
                  <c:v>115.74975317808881</c:v>
                </c:pt>
                <c:pt idx="13">
                  <c:v>116.60645057142806</c:v>
                </c:pt>
                <c:pt idx="14">
                  <c:v>117.46948862989706</c:v>
                </c:pt>
                <c:pt idx="15">
                  <c:v>118.33891428259201</c:v>
                </c:pt>
                <c:pt idx="16">
                  <c:v>119.2147748059446</c:v>
                </c:pt>
                <c:pt idx="17">
                  <c:v>120.09711782629336</c:v>
                </c:pt>
                <c:pt idx="18">
                  <c:v>120.98599132247304</c:v>
                </c:pt>
                <c:pt idx="19">
                  <c:v>121.8814436284236</c:v>
                </c:pt>
                <c:pt idx="20">
                  <c:v>122.78352343581848</c:v>
                </c:pt>
                <c:pt idx="21">
                  <c:v>123.69227979671237</c:v>
                </c:pt>
                <c:pt idx="22">
                  <c:v>124.6077621262081</c:v>
                </c:pt>
                <c:pt idx="23">
                  <c:v>125.53002020514427</c:v>
                </c:pt>
                <c:pt idx="24">
                  <c:v>126.45910418280175</c:v>
                </c:pt>
                <c:pt idx="25">
                  <c:v>127.39506457963076</c:v>
                </c:pt>
                <c:pt idx="26">
                  <c:v>128.33795228999793</c:v>
                </c:pt>
                <c:pt idx="27">
                  <c:v>129.28781858495401</c:v>
                </c:pt>
                <c:pt idx="28">
                  <c:v>130.24471511502122</c:v>
                </c:pt>
                <c:pt idx="29">
                  <c:v>131.20869391300258</c:v>
                </c:pt>
                <c:pt idx="30">
                  <c:v>132.17980739681079</c:v>
                </c:pt>
                <c:pt idx="31">
                  <c:v>133.15810837231876</c:v>
                </c:pt>
                <c:pt idx="32">
                  <c:v>134.14365003623089</c:v>
                </c:pt>
                <c:pt idx="33">
                  <c:v>135.13648597897586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119.66679605529622</c:v>
                </c:pt>
                <c:pt idx="17">
                  <c:v>120.50584414736228</c:v>
                </c:pt>
                <c:pt idx="18">
                  <c:v>121.35077525563662</c:v>
                </c:pt>
                <c:pt idx="19">
                  <c:v>122.20163062910154</c:v>
                </c:pt>
                <c:pt idx="20">
                  <c:v>123.05845180595763</c:v>
                </c:pt>
                <c:pt idx="21">
                  <c:v>123.92128061565252</c:v>
                </c:pt>
                <c:pt idx="22">
                  <c:v>124.79015918092209</c:v>
                </c:pt>
                <c:pt idx="23">
                  <c:v>125.66512991984779</c:v>
                </c:pt>
                <c:pt idx="24">
                  <c:v>126.5462355479265</c:v>
                </c:pt>
                <c:pt idx="25">
                  <c:v>127.43351908015683</c:v>
                </c:pt>
                <c:pt idx="26">
                  <c:v>128.32702383313818</c:v>
                </c:pt>
                <c:pt idx="27">
                  <c:v>129.22679342718627</c:v>
                </c:pt>
                <c:pt idx="28">
                  <c:v>130.13287178846184</c:v>
                </c:pt>
                <c:pt idx="29">
                  <c:v>131.04530315111597</c:v>
                </c:pt>
                <c:pt idx="30">
                  <c:v>131.96413205944859</c:v>
                </c:pt>
                <c:pt idx="31">
                  <c:v>132.88940337008407</c:v>
                </c:pt>
                <c:pt idx="32">
                  <c:v>133.82116225416021</c:v>
                </c:pt>
                <c:pt idx="33">
                  <c:v>134.75945419953439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122.34107990088678</c:v>
                </c:pt>
                <c:pt idx="23">
                  <c:v>123.61495901032175</c:v>
                </c:pt>
                <c:pt idx="24">
                  <c:v>124.90210241321212</c:v>
                </c:pt>
                <c:pt idx="25">
                  <c:v>126.20264822429688</c:v>
                </c:pt>
                <c:pt idx="26">
                  <c:v>127.51673599643806</c:v>
                </c:pt>
                <c:pt idx="27">
                  <c:v>128.84450673559436</c:v>
                </c:pt>
                <c:pt idx="28">
                  <c:v>130.18610291595257</c:v>
                </c:pt>
                <c:pt idx="29">
                  <c:v>131.54166849521445</c:v>
                </c:pt>
                <c:pt idx="30">
                  <c:v>132.91134893004491</c:v>
                </c:pt>
                <c:pt idx="31">
                  <c:v>134.29529119167913</c:v>
                </c:pt>
                <c:pt idx="32">
                  <c:v>135.69364378169342</c:v>
                </c:pt>
                <c:pt idx="33">
                  <c:v>137.10655674794032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156"/>
          <c:min val="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127.23851035141863</c:v>
                </c:pt>
                <c:pt idx="1">
                  <c:v>119.53416202431487</c:v>
                </c:pt>
                <c:pt idx="2">
                  <c:v>119.87264833936263</c:v>
                </c:pt>
                <c:pt idx="3">
                  <c:v>116.01377592746509</c:v>
                </c:pt>
                <c:pt idx="4">
                  <c:v>117.47706354236719</c:v>
                </c:pt>
                <c:pt idx="5">
                  <c:v>133.5639877149807</c:v>
                </c:pt>
                <c:pt idx="6">
                  <c:v>118.6059679653001</c:v>
                </c:pt>
                <c:pt idx="7">
                  <c:v>124.33723938124062</c:v>
                </c:pt>
                <c:pt idx="8">
                  <c:v>126.52959469531471</c:v>
                </c:pt>
                <c:pt idx="9">
                  <c:v>123.03063866882034</c:v>
                </c:pt>
                <c:pt idx="10">
                  <c:v>133.99423057285816</c:v>
                </c:pt>
                <c:pt idx="11">
                  <c:v>129.29934720211332</c:v>
                </c:pt>
                <c:pt idx="12">
                  <c:v>149.11806151825849</c:v>
                </c:pt>
                <c:pt idx="13">
                  <c:v>143.55464408573698</c:v>
                </c:pt>
                <c:pt idx="14">
                  <c:v>132.5937408676709</c:v>
                </c:pt>
                <c:pt idx="15">
                  <c:v>127.00956481623867</c:v>
                </c:pt>
                <c:pt idx="16">
                  <c:v>119.78322264291478</c:v>
                </c:pt>
                <c:pt idx="17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121.3326224717558</c:v>
                </c:pt>
                <c:pt idx="1">
                  <c:v>122.17856856936321</c:v>
                </c:pt>
                <c:pt idx="2">
                  <c:v>123.03041270811974</c:v>
                </c:pt>
                <c:pt idx="3">
                  <c:v>123.88819600989986</c:v>
                </c:pt>
                <c:pt idx="4">
                  <c:v>124.75195988328512</c:v>
                </c:pt>
                <c:pt idx="5">
                  <c:v>125.62174602556291</c:v>
                </c:pt>
                <c:pt idx="6">
                  <c:v>126.49759642473887</c:v>
                </c:pt>
                <c:pt idx="7">
                  <c:v>127.37955336156473</c:v>
                </c:pt>
                <c:pt idx="8">
                  <c:v>128.26765941157839</c:v>
                </c:pt>
                <c:pt idx="9">
                  <c:v>129.16195744716006</c:v>
                </c:pt>
                <c:pt idx="10">
                  <c:v>130.06249063960141</c:v>
                </c:pt>
                <c:pt idx="11">
                  <c:v>130.9693024611895</c:v>
                </c:pt>
                <c:pt idx="12">
                  <c:v>131.8824366873059</c:v>
                </c:pt>
                <c:pt idx="13">
                  <c:v>132.80193739853922</c:v>
                </c:pt>
                <c:pt idx="14">
                  <c:v>133.72784898281378</c:v>
                </c:pt>
                <c:pt idx="15">
                  <c:v>134.66021613753162</c:v>
                </c:pt>
                <c:pt idx="16">
                  <c:v>135.59908387173093</c:v>
                </c:pt>
                <c:pt idx="17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120.98599132247304</c:v>
                </c:pt>
                <c:pt idx="1">
                  <c:v>121.8814436284236</c:v>
                </c:pt>
                <c:pt idx="2">
                  <c:v>122.78352343581848</c:v>
                </c:pt>
                <c:pt idx="3">
                  <c:v>123.69227979671237</c:v>
                </c:pt>
                <c:pt idx="4">
                  <c:v>124.6077621262081</c:v>
                </c:pt>
                <c:pt idx="5">
                  <c:v>125.53002020514427</c:v>
                </c:pt>
                <c:pt idx="6">
                  <c:v>126.45910418280175</c:v>
                </c:pt>
                <c:pt idx="7">
                  <c:v>127.39506457963076</c:v>
                </c:pt>
                <c:pt idx="8">
                  <c:v>128.33795228999793</c:v>
                </c:pt>
                <c:pt idx="9">
                  <c:v>129.28781858495401</c:v>
                </c:pt>
                <c:pt idx="10">
                  <c:v>130.24471511502122</c:v>
                </c:pt>
                <c:pt idx="11">
                  <c:v>131.20869391300258</c:v>
                </c:pt>
                <c:pt idx="12">
                  <c:v>132.17980739681079</c:v>
                </c:pt>
                <c:pt idx="13">
                  <c:v>133.15810837231876</c:v>
                </c:pt>
                <c:pt idx="14">
                  <c:v>134.14365003623089</c:v>
                </c:pt>
                <c:pt idx="15">
                  <c:v>135.13648597897586</c:v>
                </c:pt>
                <c:pt idx="16">
                  <c:v>136.1366701876203</c:v>
                </c:pt>
                <c:pt idx="17">
                  <c:v>137.14425704880503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15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1.9703032546388026</c:v>
                </c:pt>
                <c:pt idx="1">
                  <c:v>1.3541882868700801</c:v>
                </c:pt>
                <c:pt idx="2">
                  <c:v>1.3091605828770831</c:v>
                </c:pt>
                <c:pt idx="3">
                  <c:v>1.6158398339019835</c:v>
                </c:pt>
                <c:pt idx="4">
                  <c:v>2.0576352708641736</c:v>
                </c:pt>
                <c:pt idx="5">
                  <c:v>1.4387885331659314</c:v>
                </c:pt>
                <c:pt idx="6">
                  <c:v>1.7952011743107614</c:v>
                </c:pt>
                <c:pt idx="7">
                  <c:v>1.5149523779382967</c:v>
                </c:pt>
                <c:pt idx="8">
                  <c:v>1.3379411698781707</c:v>
                </c:pt>
                <c:pt idx="9">
                  <c:v>1.6165545564957222</c:v>
                </c:pt>
                <c:pt idx="10">
                  <c:v>1.6396761994997362</c:v>
                </c:pt>
                <c:pt idx="11">
                  <c:v>1.7104329921582144</c:v>
                </c:pt>
                <c:pt idx="12">
                  <c:v>1.3306447428196719</c:v>
                </c:pt>
                <c:pt idx="13">
                  <c:v>1.6605872177576302</c:v>
                </c:pt>
                <c:pt idx="14">
                  <c:v>1.7008069137955482</c:v>
                </c:pt>
                <c:pt idx="15">
                  <c:v>1.8393085614325182</c:v>
                </c:pt>
                <c:pt idx="16">
                  <c:v>2.0979528479062588</c:v>
                </c:pt>
                <c:pt idx="17">
                  <c:v>1.9243978929621472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0.86723044385625625</c:v>
                </c:pt>
                <c:pt idx="3">
                  <c:v>0.92704466688224663</c:v>
                </c:pt>
                <c:pt idx="4">
                  <c:v>0.9465889990995926</c:v>
                </c:pt>
                <c:pt idx="5">
                  <c:v>0.9537112389836917</c:v>
                </c:pt>
                <c:pt idx="6">
                  <c:v>0.96110288740340877</c:v>
                </c:pt>
                <c:pt idx="7">
                  <c:v>0.96722497018109532</c:v>
                </c:pt>
                <c:pt idx="8">
                  <c:v>0.9722013057641864</c:v>
                </c:pt>
                <c:pt idx="9">
                  <c:v>0.97611358624165678</c:v>
                </c:pt>
                <c:pt idx="10">
                  <c:v>0.9799161262525885</c:v>
                </c:pt>
                <c:pt idx="11">
                  <c:v>0.98292117696525372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0.82155703006404168</c:v>
                </c:pt>
                <c:pt idx="3">
                  <c:v>0.8954392849361742</c:v>
                </c:pt>
                <c:pt idx="4">
                  <c:v>0.92566551582853052</c:v>
                </c:pt>
                <c:pt idx="5">
                  <c:v>0.93992390439053208</c:v>
                </c:pt>
                <c:pt idx="6">
                  <c:v>0.94878242864628126</c:v>
                </c:pt>
                <c:pt idx="7">
                  <c:v>0.95677546360043197</c:v>
                </c:pt>
                <c:pt idx="8">
                  <c:v>0.96296588117227178</c:v>
                </c:pt>
                <c:pt idx="9">
                  <c:v>0.96781139785063397</c:v>
                </c:pt>
                <c:pt idx="10">
                  <c:v>0.9713970326111252</c:v>
                </c:pt>
                <c:pt idx="11">
                  <c:v>0.97477468765721198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0.87028286804875155</c:v>
                </c:pt>
                <c:pt idx="3">
                  <c:v>0.93041684822830339</c:v>
                </c:pt>
                <c:pt idx="4">
                  <c:v>0.95024245116176265</c:v>
                </c:pt>
                <c:pt idx="5">
                  <c:v>0.95725967042590221</c:v>
                </c:pt>
                <c:pt idx="6">
                  <c:v>0.96420977627190563</c:v>
                </c:pt>
                <c:pt idx="7">
                  <c:v>0.97041354804821212</c:v>
                </c:pt>
                <c:pt idx="8">
                  <c:v>0.9751594094397521</c:v>
                </c:pt>
                <c:pt idx="9">
                  <c:v>0.97903304048193573</c:v>
                </c:pt>
                <c:pt idx="10">
                  <c:v>0.98288802332264402</c:v>
                </c:pt>
                <c:pt idx="11">
                  <c:v>0.9859409689318529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33510</c:v>
                </c:pt>
                <c:pt idx="1">
                  <c:v>33625</c:v>
                </c:pt>
                <c:pt idx="2">
                  <c:v>33715</c:v>
                </c:pt>
                <c:pt idx="3">
                  <c:v>33923</c:v>
                </c:pt>
                <c:pt idx="4">
                  <c:v>34003</c:v>
                </c:pt>
                <c:pt idx="5">
                  <c:v>34128</c:v>
                </c:pt>
                <c:pt idx="6">
                  <c:v>34275</c:v>
                </c:pt>
                <c:pt idx="7">
                  <c:v>34312</c:v>
                </c:pt>
                <c:pt idx="8">
                  <c:v>34368</c:v>
                </c:pt>
                <c:pt idx="9">
                  <c:v>34854</c:v>
                </c:pt>
                <c:pt idx="10">
                  <c:v>34805</c:v>
                </c:pt>
                <c:pt idx="11">
                  <c:v>34838</c:v>
                </c:pt>
                <c:pt idx="12">
                  <c:v>34912</c:v>
                </c:pt>
                <c:pt idx="13">
                  <c:v>35020</c:v>
                </c:pt>
                <c:pt idx="14">
                  <c:v>35204</c:v>
                </c:pt>
                <c:pt idx="15">
                  <c:v>35445</c:v>
                </c:pt>
                <c:pt idx="16">
                  <c:v>35634</c:v>
                </c:pt>
                <c:pt idx="17">
                  <c:v>35855</c:v>
                </c:pt>
                <c:pt idx="18">
                  <c:v>36846</c:v>
                </c:pt>
                <c:pt idx="19">
                  <c:v>36903</c:v>
                </c:pt>
                <c:pt idx="20">
                  <c:v>36964</c:v>
                </c:pt>
                <c:pt idx="21">
                  <c:v>37539</c:v>
                </c:pt>
                <c:pt idx="22">
                  <c:v>37591</c:v>
                </c:pt>
                <c:pt idx="23">
                  <c:v>37869</c:v>
                </c:pt>
                <c:pt idx="24">
                  <c:v>38271</c:v>
                </c:pt>
                <c:pt idx="25">
                  <c:v>38658</c:v>
                </c:pt>
                <c:pt idx="26">
                  <c:v>38909</c:v>
                </c:pt>
                <c:pt idx="27">
                  <c:v>39003</c:v>
                </c:pt>
                <c:pt idx="28">
                  <c:v>39172</c:v>
                </c:pt>
                <c:pt idx="29">
                  <c:v>39369</c:v>
                </c:pt>
                <c:pt idx="30">
                  <c:v>39598</c:v>
                </c:pt>
                <c:pt idx="31">
                  <c:v>37790</c:v>
                </c:pt>
                <c:pt idx="32">
                  <c:v>37641</c:v>
                </c:pt>
                <c:pt idx="33">
                  <c:v>32515</c:v>
                </c:pt>
                <c:pt idx="34">
                  <c:v>32222</c:v>
                </c:pt>
                <c:pt idx="35">
                  <c:v>31959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0.12660315225028684</c:v>
                </c:pt>
                <c:pt idx="1">
                  <c:v>0.10191605337778187</c:v>
                </c:pt>
                <c:pt idx="2">
                  <c:v>9.244485769816535E-2</c:v>
                </c:pt>
                <c:pt idx="3">
                  <c:v>8.2053100829343029E-2</c:v>
                </c:pt>
                <c:pt idx="4">
                  <c:v>8.0622857379767154E-2</c:v>
                </c:pt>
                <c:pt idx="5">
                  <c:v>5.0932219681524726E-2</c:v>
                </c:pt>
                <c:pt idx="6">
                  <c:v>4.8319231407772278E-2</c:v>
                </c:pt>
                <c:pt idx="7">
                  <c:v>7.1896090601049512E-2</c:v>
                </c:pt>
                <c:pt idx="8">
                  <c:v>9.6532714345868298E-2</c:v>
                </c:pt>
                <c:pt idx="9">
                  <c:v>0.10064183418108374</c:v>
                </c:pt>
                <c:pt idx="10">
                  <c:v>7.3546671621661952E-2</c:v>
                </c:pt>
                <c:pt idx="11">
                  <c:v>6.440794228016955E-2</c:v>
                </c:pt>
                <c:pt idx="12">
                  <c:v>6.3126163826251247E-2</c:v>
                </c:pt>
                <c:pt idx="13">
                  <c:v>7.4185378475376984E-2</c:v>
                </c:pt>
                <c:pt idx="14">
                  <c:v>6.0793192804551532E-2</c:v>
                </c:pt>
                <c:pt idx="15">
                  <c:v>4.7631681774927825E-2</c:v>
                </c:pt>
                <c:pt idx="16">
                  <c:v>7.9920345364546952E-2</c:v>
                </c:pt>
                <c:pt idx="17">
                  <c:v>0.13353804417781623</c:v>
                </c:pt>
                <c:pt idx="18">
                  <c:v>0.1598851054262389</c:v>
                </c:pt>
                <c:pt idx="19">
                  <c:v>0.13431231988177506</c:v>
                </c:pt>
                <c:pt idx="20">
                  <c:v>7.3643829697767504E-2</c:v>
                </c:pt>
                <c:pt idx="21">
                  <c:v>5.3174507465914012E-2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0.10321943176330128</c:v>
                </c:pt>
                <c:pt idx="4">
                  <c:v>9.0672655302548089E-2</c:v>
                </c:pt>
                <c:pt idx="5">
                  <c:v>7.0984430802118359E-2</c:v>
                </c:pt>
                <c:pt idx="6">
                  <c:v>6.4967564518445986E-2</c:v>
                </c:pt>
                <c:pt idx="7">
                  <c:v>7.6398453925297316E-2</c:v>
                </c:pt>
                <c:pt idx="8">
                  <c:v>7.2655118930522455E-2</c:v>
                </c:pt>
                <c:pt idx="9">
                  <c:v>7.3858154273444887E-2</c:v>
                </c:pt>
                <c:pt idx="10">
                  <c:v>7.2736939305025894E-2</c:v>
                </c:pt>
                <c:pt idx="11">
                  <c:v>7.9722568243961955E-2</c:v>
                </c:pt>
                <c:pt idx="12">
                  <c:v>8.1497214594261402E-2</c:v>
                </c:pt>
                <c:pt idx="13">
                  <c:v>7.3867755655904199E-2</c:v>
                </c:pt>
                <c:pt idx="14">
                  <c:v>6.2580735771507801E-2</c:v>
                </c:pt>
                <c:pt idx="15">
                  <c:v>5.5149355879986928E-2</c:v>
                </c:pt>
                <c:pt idx="16">
                  <c:v>7.7185697080078164E-2</c:v>
                </c:pt>
                <c:pt idx="17">
                  <c:v>9.7695356813257472E-2</c:v>
                </c:pt>
                <c:pt idx="18">
                  <c:v>0.10359703176201807</c:v>
                </c:pt>
                <c:pt idx="19">
                  <c:v>0.10613996974767748</c:v>
                </c:pt>
                <c:pt idx="20">
                  <c:v>0.10437085415604486</c:v>
                </c:pt>
                <c:pt idx="21">
                  <c:v>0.1065000267871945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8.8164630421994961E-2</c:v>
                </c:pt>
                <c:pt idx="10">
                  <c:v>8.1660639627147313E-2</c:v>
                </c:pt>
                <c:pt idx="11">
                  <c:v>7.5323917511502581E-2</c:v>
                </c:pt>
                <c:pt idx="12">
                  <c:v>7.3175046937566934E-2</c:v>
                </c:pt>
                <c:pt idx="13">
                  <c:v>7.5126289590203177E-2</c:v>
                </c:pt>
                <c:pt idx="14">
                  <c:v>6.7477417992287014E-2</c:v>
                </c:pt>
                <c:pt idx="15">
                  <c:v>6.428280781753748E-2</c:v>
                </c:pt>
                <c:pt idx="16">
                  <c:v>7.504685513784537E-2</c:v>
                </c:pt>
                <c:pt idx="17">
                  <c:v>8.9077736772082972E-2</c:v>
                </c:pt>
                <c:pt idx="18">
                  <c:v>9.2971346372429764E-2</c:v>
                </c:pt>
                <c:pt idx="19">
                  <c:v>9.0510761342645685E-2</c:v>
                </c:pt>
                <c:pt idx="20">
                  <c:v>8.3625544666233953E-2</c:v>
                </c:pt>
                <c:pt idx="21">
                  <c:v>8.1132907744349447E-2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8.1949588192925527E-2</c:v>
                </c:pt>
                <c:pt idx="1">
                  <c:v>8.1949588192925527E-2</c:v>
                </c:pt>
                <c:pt idx="2">
                  <c:v>8.1949588192925527E-2</c:v>
                </c:pt>
                <c:pt idx="3">
                  <c:v>8.1949588192925527E-2</c:v>
                </c:pt>
                <c:pt idx="4">
                  <c:v>8.1949588192925527E-2</c:v>
                </c:pt>
                <c:pt idx="5">
                  <c:v>8.1949588192925527E-2</c:v>
                </c:pt>
                <c:pt idx="6">
                  <c:v>8.1949588192925527E-2</c:v>
                </c:pt>
                <c:pt idx="7">
                  <c:v>8.1949588192925527E-2</c:v>
                </c:pt>
                <c:pt idx="8">
                  <c:v>8.1949588192925527E-2</c:v>
                </c:pt>
                <c:pt idx="9">
                  <c:v>8.1949588192925527E-2</c:v>
                </c:pt>
                <c:pt idx="10">
                  <c:v>8.1949588192925527E-2</c:v>
                </c:pt>
                <c:pt idx="11">
                  <c:v>8.1949588192925527E-2</c:v>
                </c:pt>
                <c:pt idx="12">
                  <c:v>8.1949588192925527E-2</c:v>
                </c:pt>
                <c:pt idx="13">
                  <c:v>8.1949588192925527E-2</c:v>
                </c:pt>
                <c:pt idx="14">
                  <c:v>8.1949588192925527E-2</c:v>
                </c:pt>
                <c:pt idx="15">
                  <c:v>8.1949588192925527E-2</c:v>
                </c:pt>
                <c:pt idx="16">
                  <c:v>8.1949588192925527E-2</c:v>
                </c:pt>
                <c:pt idx="17">
                  <c:v>8.1949588192925527E-2</c:v>
                </c:pt>
                <c:pt idx="18">
                  <c:v>8.1949588192925527E-2</c:v>
                </c:pt>
                <c:pt idx="19">
                  <c:v>8.1949588192925527E-2</c:v>
                </c:pt>
                <c:pt idx="20">
                  <c:v>8.1949588192925527E-2</c:v>
                </c:pt>
                <c:pt idx="21">
                  <c:v>8.1949588192925527E-2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100.89458698895866</c:v>
                </c:pt>
                <c:pt idx="1">
                  <c:v>99.675216059479581</c:v>
                </c:pt>
                <c:pt idx="2">
                  <c:v>107.90997929051117</c:v>
                </c:pt>
                <c:pt idx="3">
                  <c:v>108.29673471066521</c:v>
                </c:pt>
                <c:pt idx="4">
                  <c:v>114.76950676537243</c:v>
                </c:pt>
                <c:pt idx="5">
                  <c:v>117.72995171430985</c:v>
                </c:pt>
                <c:pt idx="6">
                  <c:v>120.89931746925885</c:v>
                </c:pt>
                <c:pt idx="7">
                  <c:v>115.59056958502657</c:v>
                </c:pt>
                <c:pt idx="8">
                  <c:v>113.25598207637394</c:v>
                </c:pt>
                <c:pt idx="9">
                  <c:v>102.7346430156375</c:v>
                </c:pt>
                <c:pt idx="10">
                  <c:v>106.26468310460019</c:v>
                </c:pt>
                <c:pt idx="11">
                  <c:v>124.49229284762997</c:v>
                </c:pt>
                <c:pt idx="12">
                  <c:v>113.56621836616137</c:v>
                </c:pt>
                <c:pt idx="13">
                  <c:v>115.66601498146562</c:v>
                </c:pt>
                <c:pt idx="14">
                  <c:v>118.30206184091573</c:v>
                </c:pt>
                <c:pt idx="15">
                  <c:v>114.10729288341315</c:v>
                </c:pt>
                <c:pt idx="16">
                  <c:v>129.16391567246009</c:v>
                </c:pt>
                <c:pt idx="17">
                  <c:v>125.48836903657812</c:v>
                </c:pt>
                <c:pt idx="18">
                  <c:v>127.23851035141863</c:v>
                </c:pt>
                <c:pt idx="19">
                  <c:v>119.53416202431487</c:v>
                </c:pt>
                <c:pt idx="20">
                  <c:v>119.87264833936263</c:v>
                </c:pt>
                <c:pt idx="21">
                  <c:v>116.01377592746509</c:v>
                </c:pt>
                <c:pt idx="22">
                  <c:v>117.47706354236719</c:v>
                </c:pt>
                <c:pt idx="23">
                  <c:v>133.5639877149807</c:v>
                </c:pt>
                <c:pt idx="24">
                  <c:v>118.6059679653001</c:v>
                </c:pt>
                <c:pt idx="25">
                  <c:v>124.33723938124062</c:v>
                </c:pt>
                <c:pt idx="26">
                  <c:v>126.52959469531471</c:v>
                </c:pt>
                <c:pt idx="27">
                  <c:v>123.03063866882034</c:v>
                </c:pt>
                <c:pt idx="28">
                  <c:v>133.99423057285816</c:v>
                </c:pt>
                <c:pt idx="29">
                  <c:v>129.29934720211332</c:v>
                </c:pt>
                <c:pt idx="30">
                  <c:v>149.11806151825849</c:v>
                </c:pt>
                <c:pt idx="31">
                  <c:v>143.55464408573698</c:v>
                </c:pt>
                <c:pt idx="32">
                  <c:v>132.5937408676709</c:v>
                </c:pt>
                <c:pt idx="33">
                  <c:v>127.00956481623867</c:v>
                </c:pt>
                <c:pt idx="34">
                  <c:v>119.78322264291478</c:v>
                </c:pt>
                <c:pt idx="35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107.81544144598891</c:v>
                </c:pt>
                <c:pt idx="2">
                  <c:v>108.5671440804085</c:v>
                </c:pt>
                <c:pt idx="3">
                  <c:v>109.32408767885906</c:v>
                </c:pt>
                <c:pt idx="4">
                  <c:v>110.08630878199189</c:v>
                </c:pt>
                <c:pt idx="5">
                  <c:v>110.8538441852245</c:v>
                </c:pt>
                <c:pt idx="6">
                  <c:v>111.62673094051665</c:v>
                </c:pt>
                <c:pt idx="7">
                  <c:v>112.40500635815863</c:v>
                </c:pt>
                <c:pt idx="8">
                  <c:v>113.18870800857312</c:v>
                </c:pt>
                <c:pt idx="9">
                  <c:v>113.97787372412803</c:v>
                </c:pt>
                <c:pt idx="10">
                  <c:v>114.77254160096365</c:v>
                </c:pt>
                <c:pt idx="11">
                  <c:v>115.57275000083089</c:v>
                </c:pt>
                <c:pt idx="12">
                  <c:v>116.37853755294383</c:v>
                </c:pt>
                <c:pt idx="13">
                  <c:v>117.18994315584423</c:v>
                </c:pt>
                <c:pt idx="14">
                  <c:v>118.00700597927903</c:v>
                </c:pt>
                <c:pt idx="15">
                  <c:v>118.82976546609187</c:v>
                </c:pt>
                <c:pt idx="16">
                  <c:v>119.65826133412641</c:v>
                </c:pt>
                <c:pt idx="17">
                  <c:v>120.49253357814433</c:v>
                </c:pt>
                <c:pt idx="18">
                  <c:v>121.3326224717558</c:v>
                </c:pt>
                <c:pt idx="19">
                  <c:v>122.17856856936321</c:v>
                </c:pt>
                <c:pt idx="20">
                  <c:v>123.03041270811974</c:v>
                </c:pt>
                <c:pt idx="21">
                  <c:v>123.88819600989986</c:v>
                </c:pt>
                <c:pt idx="22">
                  <c:v>124.75195988328512</c:v>
                </c:pt>
                <c:pt idx="23">
                  <c:v>125.62174602556291</c:v>
                </c:pt>
                <c:pt idx="24">
                  <c:v>126.49759642473887</c:v>
                </c:pt>
                <c:pt idx="25">
                  <c:v>127.37955336156473</c:v>
                </c:pt>
                <c:pt idx="26">
                  <c:v>128.26765941157839</c:v>
                </c:pt>
                <c:pt idx="27">
                  <c:v>129.16195744716006</c:v>
                </c:pt>
                <c:pt idx="28">
                  <c:v>130.06249063960141</c:v>
                </c:pt>
                <c:pt idx="29">
                  <c:v>130.9693024611895</c:v>
                </c:pt>
                <c:pt idx="30">
                  <c:v>131.8824366873059</c:v>
                </c:pt>
                <c:pt idx="31">
                  <c:v>132.80193739853922</c:v>
                </c:pt>
                <c:pt idx="32">
                  <c:v>133.72784898281378</c:v>
                </c:pt>
                <c:pt idx="33">
                  <c:v>134.66021613753162</c:v>
                </c:pt>
                <c:pt idx="34">
                  <c:v>135.59908387173093</c:v>
                </c:pt>
                <c:pt idx="35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114.05519439180196</c:v>
                </c:pt>
                <c:pt idx="11">
                  <c:v>114.89934986556719</c:v>
                </c:pt>
                <c:pt idx="12">
                  <c:v>115.74975317808881</c:v>
                </c:pt>
                <c:pt idx="13">
                  <c:v>116.60645057142806</c:v>
                </c:pt>
                <c:pt idx="14">
                  <c:v>117.46948862989706</c:v>
                </c:pt>
                <c:pt idx="15">
                  <c:v>118.33891428259201</c:v>
                </c:pt>
                <c:pt idx="16">
                  <c:v>119.2147748059446</c:v>
                </c:pt>
                <c:pt idx="17">
                  <c:v>120.09711782629336</c:v>
                </c:pt>
                <c:pt idx="18">
                  <c:v>120.98599132247304</c:v>
                </c:pt>
                <c:pt idx="19">
                  <c:v>121.8814436284236</c:v>
                </c:pt>
                <c:pt idx="20">
                  <c:v>122.78352343581848</c:v>
                </c:pt>
                <c:pt idx="21">
                  <c:v>123.69227979671237</c:v>
                </c:pt>
                <c:pt idx="22">
                  <c:v>124.6077621262081</c:v>
                </c:pt>
                <c:pt idx="23">
                  <c:v>125.53002020514427</c:v>
                </c:pt>
                <c:pt idx="24">
                  <c:v>126.45910418280175</c:v>
                </c:pt>
                <c:pt idx="25">
                  <c:v>127.39506457963076</c:v>
                </c:pt>
                <c:pt idx="26">
                  <c:v>128.33795228999793</c:v>
                </c:pt>
                <c:pt idx="27">
                  <c:v>129.28781858495401</c:v>
                </c:pt>
                <c:pt idx="28">
                  <c:v>130.24471511502122</c:v>
                </c:pt>
                <c:pt idx="29">
                  <c:v>131.20869391300258</c:v>
                </c:pt>
                <c:pt idx="30">
                  <c:v>132.17980739681079</c:v>
                </c:pt>
                <c:pt idx="31">
                  <c:v>133.15810837231876</c:v>
                </c:pt>
                <c:pt idx="32">
                  <c:v>134.14365003623089</c:v>
                </c:pt>
                <c:pt idx="33">
                  <c:v>135.13648597897586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119.66679605529622</c:v>
                </c:pt>
                <c:pt idx="17">
                  <c:v>120.50584414736228</c:v>
                </c:pt>
                <c:pt idx="18">
                  <c:v>121.35077525563662</c:v>
                </c:pt>
                <c:pt idx="19">
                  <c:v>122.20163062910154</c:v>
                </c:pt>
                <c:pt idx="20">
                  <c:v>123.05845180595763</c:v>
                </c:pt>
                <c:pt idx="21">
                  <c:v>123.92128061565252</c:v>
                </c:pt>
                <c:pt idx="22">
                  <c:v>124.79015918092209</c:v>
                </c:pt>
                <c:pt idx="23">
                  <c:v>125.66512991984779</c:v>
                </c:pt>
                <c:pt idx="24">
                  <c:v>126.5462355479265</c:v>
                </c:pt>
                <c:pt idx="25">
                  <c:v>127.43351908015683</c:v>
                </c:pt>
                <c:pt idx="26">
                  <c:v>128.32702383313818</c:v>
                </c:pt>
                <c:pt idx="27">
                  <c:v>129.22679342718627</c:v>
                </c:pt>
                <c:pt idx="28">
                  <c:v>130.13287178846184</c:v>
                </c:pt>
                <c:pt idx="29">
                  <c:v>131.04530315111597</c:v>
                </c:pt>
                <c:pt idx="30">
                  <c:v>131.96413205944859</c:v>
                </c:pt>
                <c:pt idx="31">
                  <c:v>132.88940337008407</c:v>
                </c:pt>
                <c:pt idx="32">
                  <c:v>133.82116225416021</c:v>
                </c:pt>
                <c:pt idx="33">
                  <c:v>134.75945419953439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122.34107990088678</c:v>
                </c:pt>
                <c:pt idx="23">
                  <c:v>123.61495901032175</c:v>
                </c:pt>
                <c:pt idx="24">
                  <c:v>124.90210241321212</c:v>
                </c:pt>
                <c:pt idx="25">
                  <c:v>126.20264822429688</c:v>
                </c:pt>
                <c:pt idx="26">
                  <c:v>127.51673599643806</c:v>
                </c:pt>
                <c:pt idx="27">
                  <c:v>128.84450673559436</c:v>
                </c:pt>
                <c:pt idx="28">
                  <c:v>130.18610291595257</c:v>
                </c:pt>
                <c:pt idx="29">
                  <c:v>131.54166849521445</c:v>
                </c:pt>
                <c:pt idx="30">
                  <c:v>132.91134893004491</c:v>
                </c:pt>
                <c:pt idx="31">
                  <c:v>134.29529119167913</c:v>
                </c:pt>
                <c:pt idx="32">
                  <c:v>135.69364378169342</c:v>
                </c:pt>
                <c:pt idx="33">
                  <c:v>137.10655674794032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156"/>
          <c:min val="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127.23851035141863</c:v>
                </c:pt>
                <c:pt idx="1">
                  <c:v>119.53416202431487</c:v>
                </c:pt>
                <c:pt idx="2">
                  <c:v>119.87264833936263</c:v>
                </c:pt>
                <c:pt idx="3">
                  <c:v>116.01377592746509</c:v>
                </c:pt>
                <c:pt idx="4">
                  <c:v>117.47706354236719</c:v>
                </c:pt>
                <c:pt idx="5">
                  <c:v>133.5639877149807</c:v>
                </c:pt>
                <c:pt idx="6">
                  <c:v>118.6059679653001</c:v>
                </c:pt>
                <c:pt idx="7">
                  <c:v>124.33723938124062</c:v>
                </c:pt>
                <c:pt idx="8">
                  <c:v>126.52959469531471</c:v>
                </c:pt>
                <c:pt idx="9">
                  <c:v>123.03063866882034</c:v>
                </c:pt>
                <c:pt idx="10">
                  <c:v>133.99423057285816</c:v>
                </c:pt>
                <c:pt idx="11">
                  <c:v>129.29934720211332</c:v>
                </c:pt>
                <c:pt idx="12">
                  <c:v>149.11806151825849</c:v>
                </c:pt>
                <c:pt idx="13">
                  <c:v>143.55464408573698</c:v>
                </c:pt>
                <c:pt idx="14">
                  <c:v>132.5937408676709</c:v>
                </c:pt>
                <c:pt idx="15">
                  <c:v>127.00956481623867</c:v>
                </c:pt>
                <c:pt idx="16">
                  <c:v>119.78322264291478</c:v>
                </c:pt>
                <c:pt idx="17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121.3326224717558</c:v>
                </c:pt>
                <c:pt idx="1">
                  <c:v>122.17856856936321</c:v>
                </c:pt>
                <c:pt idx="2">
                  <c:v>123.03041270811974</c:v>
                </c:pt>
                <c:pt idx="3">
                  <c:v>123.88819600989986</c:v>
                </c:pt>
                <c:pt idx="4">
                  <c:v>124.75195988328512</c:v>
                </c:pt>
                <c:pt idx="5">
                  <c:v>125.62174602556291</c:v>
                </c:pt>
                <c:pt idx="6">
                  <c:v>126.49759642473887</c:v>
                </c:pt>
                <c:pt idx="7">
                  <c:v>127.37955336156473</c:v>
                </c:pt>
                <c:pt idx="8">
                  <c:v>128.26765941157839</c:v>
                </c:pt>
                <c:pt idx="9">
                  <c:v>129.16195744716006</c:v>
                </c:pt>
                <c:pt idx="10">
                  <c:v>130.06249063960141</c:v>
                </c:pt>
                <c:pt idx="11">
                  <c:v>130.9693024611895</c:v>
                </c:pt>
                <c:pt idx="12">
                  <c:v>131.8824366873059</c:v>
                </c:pt>
                <c:pt idx="13">
                  <c:v>132.80193739853922</c:v>
                </c:pt>
                <c:pt idx="14">
                  <c:v>133.72784898281378</c:v>
                </c:pt>
                <c:pt idx="15">
                  <c:v>134.66021613753162</c:v>
                </c:pt>
                <c:pt idx="16">
                  <c:v>135.59908387173093</c:v>
                </c:pt>
                <c:pt idx="17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120.98599132247304</c:v>
                </c:pt>
                <c:pt idx="1">
                  <c:v>121.8814436284236</c:v>
                </c:pt>
                <c:pt idx="2">
                  <c:v>122.78352343581848</c:v>
                </c:pt>
                <c:pt idx="3">
                  <c:v>123.69227979671237</c:v>
                </c:pt>
                <c:pt idx="4">
                  <c:v>124.6077621262081</c:v>
                </c:pt>
                <c:pt idx="5">
                  <c:v>125.53002020514427</c:v>
                </c:pt>
                <c:pt idx="6">
                  <c:v>126.45910418280175</c:v>
                </c:pt>
                <c:pt idx="7">
                  <c:v>127.39506457963076</c:v>
                </c:pt>
                <c:pt idx="8">
                  <c:v>128.33795228999793</c:v>
                </c:pt>
                <c:pt idx="9">
                  <c:v>129.28781858495401</c:v>
                </c:pt>
                <c:pt idx="10">
                  <c:v>130.24471511502122</c:v>
                </c:pt>
                <c:pt idx="11">
                  <c:v>131.20869391300258</c:v>
                </c:pt>
                <c:pt idx="12">
                  <c:v>132.17980739681079</c:v>
                </c:pt>
                <c:pt idx="13">
                  <c:v>133.15810837231876</c:v>
                </c:pt>
                <c:pt idx="14">
                  <c:v>134.14365003623089</c:v>
                </c:pt>
                <c:pt idx="15">
                  <c:v>135.13648597897586</c:v>
                </c:pt>
                <c:pt idx="16">
                  <c:v>136.1366701876203</c:v>
                </c:pt>
                <c:pt idx="17">
                  <c:v>137.14425704880503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15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1.9703032546388026</c:v>
                </c:pt>
                <c:pt idx="1">
                  <c:v>1.3541882868700801</c:v>
                </c:pt>
                <c:pt idx="2">
                  <c:v>1.3091605828770831</c:v>
                </c:pt>
                <c:pt idx="3">
                  <c:v>1.6158398339019835</c:v>
                </c:pt>
                <c:pt idx="4">
                  <c:v>2.0576352708641736</c:v>
                </c:pt>
                <c:pt idx="5">
                  <c:v>1.4387885331659314</c:v>
                </c:pt>
                <c:pt idx="6">
                  <c:v>1.7952011743107614</c:v>
                </c:pt>
                <c:pt idx="7">
                  <c:v>1.5149523779382967</c:v>
                </c:pt>
                <c:pt idx="8">
                  <c:v>1.3379411698781707</c:v>
                </c:pt>
                <c:pt idx="9">
                  <c:v>1.6165545564957222</c:v>
                </c:pt>
                <c:pt idx="10">
                  <c:v>1.6396761994997362</c:v>
                </c:pt>
                <c:pt idx="11">
                  <c:v>1.7104329921582144</c:v>
                </c:pt>
                <c:pt idx="12">
                  <c:v>1.3306447428196719</c:v>
                </c:pt>
                <c:pt idx="13">
                  <c:v>1.6605872177576302</c:v>
                </c:pt>
                <c:pt idx="14">
                  <c:v>1.7008069137955482</c:v>
                </c:pt>
                <c:pt idx="15">
                  <c:v>1.8393085614325182</c:v>
                </c:pt>
                <c:pt idx="16">
                  <c:v>2.0979528479062588</c:v>
                </c:pt>
                <c:pt idx="17">
                  <c:v>1.9243978929621472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0.86723044385625625</c:v>
                </c:pt>
                <c:pt idx="3">
                  <c:v>0.92704466688224663</c:v>
                </c:pt>
                <c:pt idx="4">
                  <c:v>0.9465889990995926</c:v>
                </c:pt>
                <c:pt idx="5">
                  <c:v>0.9537112389836917</c:v>
                </c:pt>
                <c:pt idx="6">
                  <c:v>0.96110288740340877</c:v>
                </c:pt>
                <c:pt idx="7">
                  <c:v>0.96722497018109532</c:v>
                </c:pt>
                <c:pt idx="8">
                  <c:v>0.9722013057641864</c:v>
                </c:pt>
                <c:pt idx="9">
                  <c:v>0.97611358624165678</c:v>
                </c:pt>
                <c:pt idx="10">
                  <c:v>0.9799161262525885</c:v>
                </c:pt>
                <c:pt idx="11">
                  <c:v>0.98292117696525372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0.82155703006404168</c:v>
                </c:pt>
                <c:pt idx="3">
                  <c:v>0.8954392849361742</c:v>
                </c:pt>
                <c:pt idx="4">
                  <c:v>0.92566551582853052</c:v>
                </c:pt>
                <c:pt idx="5">
                  <c:v>0.93992390439053208</c:v>
                </c:pt>
                <c:pt idx="6">
                  <c:v>0.94878242864628126</c:v>
                </c:pt>
                <c:pt idx="7">
                  <c:v>0.95677546360043197</c:v>
                </c:pt>
                <c:pt idx="8">
                  <c:v>0.96296588117227178</c:v>
                </c:pt>
                <c:pt idx="9">
                  <c:v>0.96781139785063397</c:v>
                </c:pt>
                <c:pt idx="10">
                  <c:v>0.9713970326111252</c:v>
                </c:pt>
                <c:pt idx="11">
                  <c:v>0.97477468765721198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0.87028286804875155</c:v>
                </c:pt>
                <c:pt idx="3">
                  <c:v>0.93041684822830339</c:v>
                </c:pt>
                <c:pt idx="4">
                  <c:v>0.95024245116176265</c:v>
                </c:pt>
                <c:pt idx="5">
                  <c:v>0.95725967042590221</c:v>
                </c:pt>
                <c:pt idx="6">
                  <c:v>0.96420977627190563</c:v>
                </c:pt>
                <c:pt idx="7">
                  <c:v>0.97041354804821212</c:v>
                </c:pt>
                <c:pt idx="8">
                  <c:v>0.9751594094397521</c:v>
                </c:pt>
                <c:pt idx="9">
                  <c:v>0.97903304048193573</c:v>
                </c:pt>
                <c:pt idx="10">
                  <c:v>0.98288802332264402</c:v>
                </c:pt>
                <c:pt idx="11">
                  <c:v>0.9859409689318529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33510</c:v>
                </c:pt>
                <c:pt idx="1">
                  <c:v>33625</c:v>
                </c:pt>
                <c:pt idx="2">
                  <c:v>33715</c:v>
                </c:pt>
                <c:pt idx="3">
                  <c:v>33923</c:v>
                </c:pt>
                <c:pt idx="4">
                  <c:v>34003</c:v>
                </c:pt>
                <c:pt idx="5">
                  <c:v>34128</c:v>
                </c:pt>
                <c:pt idx="6">
                  <c:v>34275</c:v>
                </c:pt>
                <c:pt idx="7">
                  <c:v>34312</c:v>
                </c:pt>
                <c:pt idx="8">
                  <c:v>34368</c:v>
                </c:pt>
                <c:pt idx="9">
                  <c:v>34854</c:v>
                </c:pt>
                <c:pt idx="10">
                  <c:v>34805</c:v>
                </c:pt>
                <c:pt idx="11">
                  <c:v>34838</c:v>
                </c:pt>
                <c:pt idx="12">
                  <c:v>34912</c:v>
                </c:pt>
                <c:pt idx="13">
                  <c:v>35020</c:v>
                </c:pt>
                <c:pt idx="14">
                  <c:v>35204</c:v>
                </c:pt>
                <c:pt idx="15">
                  <c:v>35445</c:v>
                </c:pt>
                <c:pt idx="16">
                  <c:v>35634</c:v>
                </c:pt>
                <c:pt idx="17">
                  <c:v>35855</c:v>
                </c:pt>
                <c:pt idx="18">
                  <c:v>36846</c:v>
                </c:pt>
                <c:pt idx="19">
                  <c:v>36903</c:v>
                </c:pt>
                <c:pt idx="20">
                  <c:v>36964</c:v>
                </c:pt>
                <c:pt idx="21">
                  <c:v>37539</c:v>
                </c:pt>
                <c:pt idx="22">
                  <c:v>37591</c:v>
                </c:pt>
                <c:pt idx="23">
                  <c:v>37869</c:v>
                </c:pt>
                <c:pt idx="24">
                  <c:v>38271</c:v>
                </c:pt>
                <c:pt idx="25">
                  <c:v>38658</c:v>
                </c:pt>
                <c:pt idx="26">
                  <c:v>38909</c:v>
                </c:pt>
                <c:pt idx="27">
                  <c:v>39003</c:v>
                </c:pt>
                <c:pt idx="28">
                  <c:v>39172</c:v>
                </c:pt>
                <c:pt idx="29">
                  <c:v>39369</c:v>
                </c:pt>
                <c:pt idx="30">
                  <c:v>39598</c:v>
                </c:pt>
                <c:pt idx="31">
                  <c:v>37790</c:v>
                </c:pt>
                <c:pt idx="32">
                  <c:v>37641</c:v>
                </c:pt>
                <c:pt idx="33">
                  <c:v>32515</c:v>
                </c:pt>
                <c:pt idx="34">
                  <c:v>32222</c:v>
                </c:pt>
                <c:pt idx="35">
                  <c:v>31959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0.12660315225028684</c:v>
                </c:pt>
                <c:pt idx="1">
                  <c:v>0.10191605337778187</c:v>
                </c:pt>
                <c:pt idx="2">
                  <c:v>9.244485769816535E-2</c:v>
                </c:pt>
                <c:pt idx="3">
                  <c:v>8.2053100829343029E-2</c:v>
                </c:pt>
                <c:pt idx="4">
                  <c:v>8.0622857379767154E-2</c:v>
                </c:pt>
                <c:pt idx="5">
                  <c:v>5.0932219681524726E-2</c:v>
                </c:pt>
                <c:pt idx="6">
                  <c:v>4.8319231407772278E-2</c:v>
                </c:pt>
                <c:pt idx="7">
                  <c:v>7.1896090601049512E-2</c:v>
                </c:pt>
                <c:pt idx="8">
                  <c:v>9.6532714345868298E-2</c:v>
                </c:pt>
                <c:pt idx="9">
                  <c:v>0.10064183418108374</c:v>
                </c:pt>
                <c:pt idx="10">
                  <c:v>7.3546671621661952E-2</c:v>
                </c:pt>
                <c:pt idx="11">
                  <c:v>6.440794228016955E-2</c:v>
                </c:pt>
                <c:pt idx="12">
                  <c:v>6.3126163826251247E-2</c:v>
                </c:pt>
                <c:pt idx="13">
                  <c:v>7.4185378475376984E-2</c:v>
                </c:pt>
                <c:pt idx="14">
                  <c:v>6.0793192804551532E-2</c:v>
                </c:pt>
                <c:pt idx="15">
                  <c:v>4.7631681774927825E-2</c:v>
                </c:pt>
                <c:pt idx="16">
                  <c:v>7.9920345364546952E-2</c:v>
                </c:pt>
                <c:pt idx="17">
                  <c:v>0.13353804417781623</c:v>
                </c:pt>
                <c:pt idx="18">
                  <c:v>0.1598851054262389</c:v>
                </c:pt>
                <c:pt idx="19">
                  <c:v>0.13431231988177506</c:v>
                </c:pt>
                <c:pt idx="20">
                  <c:v>7.3643829697767504E-2</c:v>
                </c:pt>
                <c:pt idx="21">
                  <c:v>5.3174507465914012E-2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0.10321943176330128</c:v>
                </c:pt>
                <c:pt idx="4">
                  <c:v>9.0672655302548089E-2</c:v>
                </c:pt>
                <c:pt idx="5">
                  <c:v>7.0984430802118359E-2</c:v>
                </c:pt>
                <c:pt idx="6">
                  <c:v>6.4967564518445986E-2</c:v>
                </c:pt>
                <c:pt idx="7">
                  <c:v>7.6398453925297316E-2</c:v>
                </c:pt>
                <c:pt idx="8">
                  <c:v>7.2655118930522455E-2</c:v>
                </c:pt>
                <c:pt idx="9">
                  <c:v>7.3858154273444887E-2</c:v>
                </c:pt>
                <c:pt idx="10">
                  <c:v>7.2736939305025894E-2</c:v>
                </c:pt>
                <c:pt idx="11">
                  <c:v>7.9722568243961955E-2</c:v>
                </c:pt>
                <c:pt idx="12">
                  <c:v>8.1497214594261402E-2</c:v>
                </c:pt>
                <c:pt idx="13">
                  <c:v>7.3867755655904199E-2</c:v>
                </c:pt>
                <c:pt idx="14">
                  <c:v>6.2580735771507801E-2</c:v>
                </c:pt>
                <c:pt idx="15">
                  <c:v>5.5149355879986928E-2</c:v>
                </c:pt>
                <c:pt idx="16">
                  <c:v>7.7185697080078164E-2</c:v>
                </c:pt>
                <c:pt idx="17">
                  <c:v>9.7695356813257472E-2</c:v>
                </c:pt>
                <c:pt idx="18">
                  <c:v>0.10359703176201807</c:v>
                </c:pt>
                <c:pt idx="19">
                  <c:v>0.10613996974767748</c:v>
                </c:pt>
                <c:pt idx="20">
                  <c:v>0.10437085415604486</c:v>
                </c:pt>
                <c:pt idx="21">
                  <c:v>0.1065000267871945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8.8164630421994961E-2</c:v>
                </c:pt>
                <c:pt idx="10">
                  <c:v>8.1660639627147313E-2</c:v>
                </c:pt>
                <c:pt idx="11">
                  <c:v>7.5323917511502581E-2</c:v>
                </c:pt>
                <c:pt idx="12">
                  <c:v>7.3175046937566934E-2</c:v>
                </c:pt>
                <c:pt idx="13">
                  <c:v>7.5126289590203177E-2</c:v>
                </c:pt>
                <c:pt idx="14">
                  <c:v>6.7477417992287014E-2</c:v>
                </c:pt>
                <c:pt idx="15">
                  <c:v>6.428280781753748E-2</c:v>
                </c:pt>
                <c:pt idx="16">
                  <c:v>7.504685513784537E-2</c:v>
                </c:pt>
                <c:pt idx="17">
                  <c:v>8.9077736772082972E-2</c:v>
                </c:pt>
                <c:pt idx="18">
                  <c:v>9.2971346372429764E-2</c:v>
                </c:pt>
                <c:pt idx="19">
                  <c:v>9.0510761342645685E-2</c:v>
                </c:pt>
                <c:pt idx="20">
                  <c:v>8.3625544666233953E-2</c:v>
                </c:pt>
                <c:pt idx="21">
                  <c:v>8.1132907744349447E-2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8.1949588192925527E-2</c:v>
                </c:pt>
                <c:pt idx="1">
                  <c:v>8.1949588192925527E-2</c:v>
                </c:pt>
                <c:pt idx="2">
                  <c:v>8.1949588192925527E-2</c:v>
                </c:pt>
                <c:pt idx="3">
                  <c:v>8.1949588192925527E-2</c:v>
                </c:pt>
                <c:pt idx="4">
                  <c:v>8.1949588192925527E-2</c:v>
                </c:pt>
                <c:pt idx="5">
                  <c:v>8.1949588192925527E-2</c:v>
                </c:pt>
                <c:pt idx="6">
                  <c:v>8.1949588192925527E-2</c:v>
                </c:pt>
                <c:pt idx="7">
                  <c:v>8.1949588192925527E-2</c:v>
                </c:pt>
                <c:pt idx="8">
                  <c:v>8.1949588192925527E-2</c:v>
                </c:pt>
                <c:pt idx="9">
                  <c:v>8.1949588192925527E-2</c:v>
                </c:pt>
                <c:pt idx="10">
                  <c:v>8.1949588192925527E-2</c:v>
                </c:pt>
                <c:pt idx="11">
                  <c:v>8.1949588192925527E-2</c:v>
                </c:pt>
                <c:pt idx="12">
                  <c:v>8.1949588192925527E-2</c:v>
                </c:pt>
                <c:pt idx="13">
                  <c:v>8.1949588192925527E-2</c:v>
                </c:pt>
                <c:pt idx="14">
                  <c:v>8.1949588192925527E-2</c:v>
                </c:pt>
                <c:pt idx="15">
                  <c:v>8.1949588192925527E-2</c:v>
                </c:pt>
                <c:pt idx="16">
                  <c:v>8.1949588192925527E-2</c:v>
                </c:pt>
                <c:pt idx="17">
                  <c:v>8.1949588192925527E-2</c:v>
                </c:pt>
                <c:pt idx="18">
                  <c:v>8.1949588192925527E-2</c:v>
                </c:pt>
                <c:pt idx="19">
                  <c:v>8.1949588192925527E-2</c:v>
                </c:pt>
                <c:pt idx="20">
                  <c:v>8.1949588192925527E-2</c:v>
                </c:pt>
                <c:pt idx="21">
                  <c:v>8.1949588192925527E-2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4688230.1524083707</c:v>
                </c:pt>
                <c:pt idx="1">
                  <c:v>4411169.1811832916</c:v>
                </c:pt>
                <c:pt idx="2">
                  <c:v>4430972.5732161999</c:v>
                </c:pt>
                <c:pt idx="3">
                  <c:v>4355041.134541112</c:v>
                </c:pt>
                <c:pt idx="4">
                  <c:v>4416080.295621125</c:v>
                </c:pt>
                <c:pt idx="5">
                  <c:v>5057934.6507786037</c:v>
                </c:pt>
                <c:pt idx="6">
                  <c:v>4539169</c:v>
                </c:pt>
                <c:pt idx="7">
                  <c:v>4806629</c:v>
                </c:pt>
                <c:pt idx="8">
                  <c:v>4923140</c:v>
                </c:pt>
                <c:pt idx="9">
                  <c:v>4798564</c:v>
                </c:pt>
                <c:pt idx="10">
                  <c:v>5248822</c:v>
                </c:pt>
                <c:pt idx="11">
                  <c:v>5090386</c:v>
                </c:pt>
                <c:pt idx="12">
                  <c:v>5904777</c:v>
                </c:pt>
                <c:pt idx="13">
                  <c:v>5424930</c:v>
                </c:pt>
                <c:pt idx="14">
                  <c:v>4990961</c:v>
                </c:pt>
                <c:pt idx="15">
                  <c:v>4129716</c:v>
                </c:pt>
                <c:pt idx="16">
                  <c:v>3859655</c:v>
                </c:pt>
                <c:pt idx="17">
                  <c:v>4467229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4688230.1524083707</c:v>
                </c:pt>
                <c:pt idx="1">
                  <c:v>4411169.1811832916</c:v>
                </c:pt>
                <c:pt idx="2">
                  <c:v>4430972.5732161999</c:v>
                </c:pt>
                <c:pt idx="3">
                  <c:v>4355041.134541112</c:v>
                </c:pt>
                <c:pt idx="4">
                  <c:v>4416080.295621125</c:v>
                </c:pt>
                <c:pt idx="5">
                  <c:v>5057934.6507786037</c:v>
                </c:pt>
                <c:pt idx="6">
                  <c:v>4539169</c:v>
                </c:pt>
                <c:pt idx="7">
                  <c:v>4806629</c:v>
                </c:pt>
                <c:pt idx="8">
                  <c:v>4923140</c:v>
                </c:pt>
                <c:pt idx="9">
                  <c:v>4798564</c:v>
                </c:pt>
                <c:pt idx="10">
                  <c:v>5248822</c:v>
                </c:pt>
                <c:pt idx="11">
                  <c:v>5090386</c:v>
                </c:pt>
                <c:pt idx="12">
                  <c:v>5904777</c:v>
                </c:pt>
                <c:pt idx="13">
                  <c:v>5424930</c:v>
                </c:pt>
                <c:pt idx="14">
                  <c:v>4990961</c:v>
                </c:pt>
                <c:pt idx="15">
                  <c:v>4129716</c:v>
                </c:pt>
                <c:pt idx="16">
                  <c:v>3859655</c:v>
                </c:pt>
                <c:pt idx="17">
                  <c:v>4467229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100.89458698895866</c:v>
                </c:pt>
                <c:pt idx="1">
                  <c:v>99.675216059479581</c:v>
                </c:pt>
                <c:pt idx="2">
                  <c:v>107.90997929051117</c:v>
                </c:pt>
                <c:pt idx="3">
                  <c:v>108.29673471066521</c:v>
                </c:pt>
                <c:pt idx="4">
                  <c:v>114.76950676537243</c:v>
                </c:pt>
                <c:pt idx="5">
                  <c:v>117.72995171430985</c:v>
                </c:pt>
                <c:pt idx="6">
                  <c:v>120.89931746925885</c:v>
                </c:pt>
                <c:pt idx="7">
                  <c:v>115.59056958502657</c:v>
                </c:pt>
                <c:pt idx="8">
                  <c:v>113.25598207637394</c:v>
                </c:pt>
                <c:pt idx="9">
                  <c:v>102.7346430156375</c:v>
                </c:pt>
                <c:pt idx="10">
                  <c:v>106.26468310460019</c:v>
                </c:pt>
                <c:pt idx="11">
                  <c:v>124.49229284762997</c:v>
                </c:pt>
                <c:pt idx="12">
                  <c:v>113.56621836616137</c:v>
                </c:pt>
                <c:pt idx="13">
                  <c:v>115.66601498146562</c:v>
                </c:pt>
                <c:pt idx="14">
                  <c:v>118.30206184091573</c:v>
                </c:pt>
                <c:pt idx="15">
                  <c:v>114.10729288341315</c:v>
                </c:pt>
                <c:pt idx="16">
                  <c:v>129.16391567246009</c:v>
                </c:pt>
                <c:pt idx="17">
                  <c:v>125.48836903657812</c:v>
                </c:pt>
                <c:pt idx="18">
                  <c:v>127.23851035141863</c:v>
                </c:pt>
                <c:pt idx="19">
                  <c:v>119.53416202431487</c:v>
                </c:pt>
                <c:pt idx="20">
                  <c:v>119.87264833936263</c:v>
                </c:pt>
                <c:pt idx="21">
                  <c:v>116.01377592746509</c:v>
                </c:pt>
                <c:pt idx="22">
                  <c:v>117.47706354236719</c:v>
                </c:pt>
                <c:pt idx="23">
                  <c:v>133.5639877149807</c:v>
                </c:pt>
                <c:pt idx="24">
                  <c:v>118.6059679653001</c:v>
                </c:pt>
                <c:pt idx="25">
                  <c:v>124.33723938124062</c:v>
                </c:pt>
                <c:pt idx="26">
                  <c:v>126.52959469531471</c:v>
                </c:pt>
                <c:pt idx="27">
                  <c:v>123.03063866882034</c:v>
                </c:pt>
                <c:pt idx="28">
                  <c:v>133.99423057285816</c:v>
                </c:pt>
                <c:pt idx="29">
                  <c:v>129.29934720211332</c:v>
                </c:pt>
                <c:pt idx="30">
                  <c:v>149.11806151825849</c:v>
                </c:pt>
                <c:pt idx="31">
                  <c:v>143.55464408573698</c:v>
                </c:pt>
                <c:pt idx="32">
                  <c:v>132.5937408676709</c:v>
                </c:pt>
                <c:pt idx="33">
                  <c:v>127.00956481623867</c:v>
                </c:pt>
                <c:pt idx="34">
                  <c:v>119.78322264291478</c:v>
                </c:pt>
                <c:pt idx="35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107.81544144598891</c:v>
                </c:pt>
                <c:pt idx="2">
                  <c:v>108.5671440804085</c:v>
                </c:pt>
                <c:pt idx="3">
                  <c:v>109.32408767885906</c:v>
                </c:pt>
                <c:pt idx="4">
                  <c:v>110.08630878199189</c:v>
                </c:pt>
                <c:pt idx="5">
                  <c:v>110.8538441852245</c:v>
                </c:pt>
                <c:pt idx="6">
                  <c:v>111.62673094051665</c:v>
                </c:pt>
                <c:pt idx="7">
                  <c:v>112.40500635815863</c:v>
                </c:pt>
                <c:pt idx="8">
                  <c:v>113.18870800857312</c:v>
                </c:pt>
                <c:pt idx="9">
                  <c:v>113.97787372412803</c:v>
                </c:pt>
                <c:pt idx="10">
                  <c:v>114.77254160096365</c:v>
                </c:pt>
                <c:pt idx="11">
                  <c:v>115.57275000083089</c:v>
                </c:pt>
                <c:pt idx="12">
                  <c:v>116.37853755294383</c:v>
                </c:pt>
                <c:pt idx="13">
                  <c:v>117.18994315584423</c:v>
                </c:pt>
                <c:pt idx="14">
                  <c:v>118.00700597927903</c:v>
                </c:pt>
                <c:pt idx="15">
                  <c:v>118.82976546609187</c:v>
                </c:pt>
                <c:pt idx="16">
                  <c:v>119.65826133412641</c:v>
                </c:pt>
                <c:pt idx="17">
                  <c:v>120.49253357814433</c:v>
                </c:pt>
                <c:pt idx="18">
                  <c:v>121.3326224717558</c:v>
                </c:pt>
                <c:pt idx="19">
                  <c:v>122.17856856936321</c:v>
                </c:pt>
                <c:pt idx="20">
                  <c:v>123.03041270811974</c:v>
                </c:pt>
                <c:pt idx="21">
                  <c:v>123.88819600989986</c:v>
                </c:pt>
                <c:pt idx="22">
                  <c:v>124.75195988328512</c:v>
                </c:pt>
                <c:pt idx="23">
                  <c:v>125.62174602556291</c:v>
                </c:pt>
                <c:pt idx="24">
                  <c:v>126.49759642473887</c:v>
                </c:pt>
                <c:pt idx="25">
                  <c:v>127.37955336156473</c:v>
                </c:pt>
                <c:pt idx="26">
                  <c:v>128.26765941157839</c:v>
                </c:pt>
                <c:pt idx="27">
                  <c:v>129.16195744716006</c:v>
                </c:pt>
                <c:pt idx="28">
                  <c:v>130.06249063960141</c:v>
                </c:pt>
                <c:pt idx="29">
                  <c:v>130.9693024611895</c:v>
                </c:pt>
                <c:pt idx="30">
                  <c:v>131.8824366873059</c:v>
                </c:pt>
                <c:pt idx="31">
                  <c:v>132.80193739853922</c:v>
                </c:pt>
                <c:pt idx="32">
                  <c:v>133.72784898281378</c:v>
                </c:pt>
                <c:pt idx="33">
                  <c:v>134.66021613753162</c:v>
                </c:pt>
                <c:pt idx="34">
                  <c:v>135.59908387173093</c:v>
                </c:pt>
                <c:pt idx="35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114.05519439180196</c:v>
                </c:pt>
                <c:pt idx="11">
                  <c:v>114.89934986556719</c:v>
                </c:pt>
                <c:pt idx="12">
                  <c:v>115.74975317808881</c:v>
                </c:pt>
                <c:pt idx="13">
                  <c:v>116.60645057142806</c:v>
                </c:pt>
                <c:pt idx="14">
                  <c:v>117.46948862989706</c:v>
                </c:pt>
                <c:pt idx="15">
                  <c:v>118.33891428259201</c:v>
                </c:pt>
                <c:pt idx="16">
                  <c:v>119.2147748059446</c:v>
                </c:pt>
                <c:pt idx="17">
                  <c:v>120.09711782629336</c:v>
                </c:pt>
                <c:pt idx="18">
                  <c:v>120.98599132247304</c:v>
                </c:pt>
                <c:pt idx="19">
                  <c:v>121.8814436284236</c:v>
                </c:pt>
                <c:pt idx="20">
                  <c:v>122.78352343581848</c:v>
                </c:pt>
                <c:pt idx="21">
                  <c:v>123.69227979671237</c:v>
                </c:pt>
                <c:pt idx="22">
                  <c:v>124.6077621262081</c:v>
                </c:pt>
                <c:pt idx="23">
                  <c:v>125.53002020514427</c:v>
                </c:pt>
                <c:pt idx="24">
                  <c:v>126.45910418280175</c:v>
                </c:pt>
                <c:pt idx="25">
                  <c:v>127.39506457963076</c:v>
                </c:pt>
                <c:pt idx="26">
                  <c:v>128.33795228999793</c:v>
                </c:pt>
                <c:pt idx="27">
                  <c:v>129.28781858495401</c:v>
                </c:pt>
                <c:pt idx="28">
                  <c:v>130.24471511502122</c:v>
                </c:pt>
                <c:pt idx="29">
                  <c:v>131.20869391300258</c:v>
                </c:pt>
                <c:pt idx="30">
                  <c:v>132.17980739681079</c:v>
                </c:pt>
                <c:pt idx="31">
                  <c:v>133.15810837231876</c:v>
                </c:pt>
                <c:pt idx="32">
                  <c:v>134.14365003623089</c:v>
                </c:pt>
                <c:pt idx="33">
                  <c:v>135.13648597897586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119.66679605529622</c:v>
                </c:pt>
                <c:pt idx="17">
                  <c:v>120.50584414736228</c:v>
                </c:pt>
                <c:pt idx="18">
                  <c:v>121.35077525563662</c:v>
                </c:pt>
                <c:pt idx="19">
                  <c:v>122.20163062910154</c:v>
                </c:pt>
                <c:pt idx="20">
                  <c:v>123.05845180595763</c:v>
                </c:pt>
                <c:pt idx="21">
                  <c:v>123.92128061565252</c:v>
                </c:pt>
                <c:pt idx="22">
                  <c:v>124.79015918092209</c:v>
                </c:pt>
                <c:pt idx="23">
                  <c:v>125.66512991984779</c:v>
                </c:pt>
                <c:pt idx="24">
                  <c:v>126.5462355479265</c:v>
                </c:pt>
                <c:pt idx="25">
                  <c:v>127.43351908015683</c:v>
                </c:pt>
                <c:pt idx="26">
                  <c:v>128.32702383313818</c:v>
                </c:pt>
                <c:pt idx="27">
                  <c:v>129.22679342718627</c:v>
                </c:pt>
                <c:pt idx="28">
                  <c:v>130.13287178846184</c:v>
                </c:pt>
                <c:pt idx="29">
                  <c:v>131.04530315111597</c:v>
                </c:pt>
                <c:pt idx="30">
                  <c:v>131.96413205944859</c:v>
                </c:pt>
                <c:pt idx="31">
                  <c:v>132.88940337008407</c:v>
                </c:pt>
                <c:pt idx="32">
                  <c:v>133.82116225416021</c:v>
                </c:pt>
                <c:pt idx="33">
                  <c:v>134.75945419953439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122.34107990088678</c:v>
                </c:pt>
                <c:pt idx="23">
                  <c:v>123.61495901032175</c:v>
                </c:pt>
                <c:pt idx="24">
                  <c:v>124.90210241321212</c:v>
                </c:pt>
                <c:pt idx="25">
                  <c:v>126.20264822429688</c:v>
                </c:pt>
                <c:pt idx="26">
                  <c:v>127.51673599643806</c:v>
                </c:pt>
                <c:pt idx="27">
                  <c:v>128.84450673559436</c:v>
                </c:pt>
                <c:pt idx="28">
                  <c:v>130.18610291595257</c:v>
                </c:pt>
                <c:pt idx="29">
                  <c:v>131.54166849521445</c:v>
                </c:pt>
                <c:pt idx="30">
                  <c:v>132.91134893004491</c:v>
                </c:pt>
                <c:pt idx="31">
                  <c:v>134.29529119167913</c:v>
                </c:pt>
                <c:pt idx="32">
                  <c:v>135.69364378169342</c:v>
                </c:pt>
                <c:pt idx="33">
                  <c:v>137.10655674794032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156"/>
          <c:min val="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127.23851035141863</c:v>
                </c:pt>
                <c:pt idx="1">
                  <c:v>119.53416202431487</c:v>
                </c:pt>
                <c:pt idx="2">
                  <c:v>119.87264833936263</c:v>
                </c:pt>
                <c:pt idx="3">
                  <c:v>116.01377592746509</c:v>
                </c:pt>
                <c:pt idx="4">
                  <c:v>117.47706354236719</c:v>
                </c:pt>
                <c:pt idx="5">
                  <c:v>133.5639877149807</c:v>
                </c:pt>
                <c:pt idx="6">
                  <c:v>118.6059679653001</c:v>
                </c:pt>
                <c:pt idx="7">
                  <c:v>124.33723938124062</c:v>
                </c:pt>
                <c:pt idx="8">
                  <c:v>126.52959469531471</c:v>
                </c:pt>
                <c:pt idx="9">
                  <c:v>123.03063866882034</c:v>
                </c:pt>
                <c:pt idx="10">
                  <c:v>133.99423057285816</c:v>
                </c:pt>
                <c:pt idx="11">
                  <c:v>129.29934720211332</c:v>
                </c:pt>
                <c:pt idx="12">
                  <c:v>149.11806151825849</c:v>
                </c:pt>
                <c:pt idx="13">
                  <c:v>143.55464408573698</c:v>
                </c:pt>
                <c:pt idx="14">
                  <c:v>132.5937408676709</c:v>
                </c:pt>
                <c:pt idx="15">
                  <c:v>127.00956481623867</c:v>
                </c:pt>
                <c:pt idx="16">
                  <c:v>119.78322264291478</c:v>
                </c:pt>
                <c:pt idx="17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121.3326224717558</c:v>
                </c:pt>
                <c:pt idx="1">
                  <c:v>122.17856856936321</c:v>
                </c:pt>
                <c:pt idx="2">
                  <c:v>123.03041270811974</c:v>
                </c:pt>
                <c:pt idx="3">
                  <c:v>123.88819600989986</c:v>
                </c:pt>
                <c:pt idx="4">
                  <c:v>124.75195988328512</c:v>
                </c:pt>
                <c:pt idx="5">
                  <c:v>125.62174602556291</c:v>
                </c:pt>
                <c:pt idx="6">
                  <c:v>126.49759642473887</c:v>
                </c:pt>
                <c:pt idx="7">
                  <c:v>127.37955336156473</c:v>
                </c:pt>
                <c:pt idx="8">
                  <c:v>128.26765941157839</c:v>
                </c:pt>
                <c:pt idx="9">
                  <c:v>129.16195744716006</c:v>
                </c:pt>
                <c:pt idx="10">
                  <c:v>130.06249063960141</c:v>
                </c:pt>
                <c:pt idx="11">
                  <c:v>130.9693024611895</c:v>
                </c:pt>
                <c:pt idx="12">
                  <c:v>131.8824366873059</c:v>
                </c:pt>
                <c:pt idx="13">
                  <c:v>132.80193739853922</c:v>
                </c:pt>
                <c:pt idx="14">
                  <c:v>133.72784898281378</c:v>
                </c:pt>
                <c:pt idx="15">
                  <c:v>134.66021613753162</c:v>
                </c:pt>
                <c:pt idx="16">
                  <c:v>135.59908387173093</c:v>
                </c:pt>
                <c:pt idx="17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120.98599132247304</c:v>
                </c:pt>
                <c:pt idx="1">
                  <c:v>121.8814436284236</c:v>
                </c:pt>
                <c:pt idx="2">
                  <c:v>122.78352343581848</c:v>
                </c:pt>
                <c:pt idx="3">
                  <c:v>123.69227979671237</c:v>
                </c:pt>
                <c:pt idx="4">
                  <c:v>124.6077621262081</c:v>
                </c:pt>
                <c:pt idx="5">
                  <c:v>125.53002020514427</c:v>
                </c:pt>
                <c:pt idx="6">
                  <c:v>126.45910418280175</c:v>
                </c:pt>
                <c:pt idx="7">
                  <c:v>127.39506457963076</c:v>
                </c:pt>
                <c:pt idx="8">
                  <c:v>128.33795228999793</c:v>
                </c:pt>
                <c:pt idx="9">
                  <c:v>129.28781858495401</c:v>
                </c:pt>
                <c:pt idx="10">
                  <c:v>130.24471511502122</c:v>
                </c:pt>
                <c:pt idx="11">
                  <c:v>131.20869391300258</c:v>
                </c:pt>
                <c:pt idx="12">
                  <c:v>132.17980739681079</c:v>
                </c:pt>
                <c:pt idx="13">
                  <c:v>133.15810837231876</c:v>
                </c:pt>
                <c:pt idx="14">
                  <c:v>134.14365003623089</c:v>
                </c:pt>
                <c:pt idx="15">
                  <c:v>135.13648597897586</c:v>
                </c:pt>
                <c:pt idx="16">
                  <c:v>136.1366701876203</c:v>
                </c:pt>
                <c:pt idx="17">
                  <c:v>137.14425704880503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15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1.9703032546388026</c:v>
                </c:pt>
                <c:pt idx="1">
                  <c:v>1.3541882868700801</c:v>
                </c:pt>
                <c:pt idx="2">
                  <c:v>1.3091605828770831</c:v>
                </c:pt>
                <c:pt idx="3">
                  <c:v>1.6158398339019835</c:v>
                </c:pt>
                <c:pt idx="4">
                  <c:v>2.0576352708641736</c:v>
                </c:pt>
                <c:pt idx="5">
                  <c:v>1.4387885331659314</c:v>
                </c:pt>
                <c:pt idx="6">
                  <c:v>1.7952011743107614</c:v>
                </c:pt>
                <c:pt idx="7">
                  <c:v>1.5149523779382967</c:v>
                </c:pt>
                <c:pt idx="8">
                  <c:v>1.3379411698781707</c:v>
                </c:pt>
                <c:pt idx="9">
                  <c:v>1.6165545564957222</c:v>
                </c:pt>
                <c:pt idx="10">
                  <c:v>1.6396761994997362</c:v>
                </c:pt>
                <c:pt idx="11">
                  <c:v>1.7104329921582144</c:v>
                </c:pt>
                <c:pt idx="12">
                  <c:v>1.3306447428196719</c:v>
                </c:pt>
                <c:pt idx="13">
                  <c:v>1.6605872177576302</c:v>
                </c:pt>
                <c:pt idx="14">
                  <c:v>1.7008069137955482</c:v>
                </c:pt>
                <c:pt idx="15">
                  <c:v>1.8393085614325182</c:v>
                </c:pt>
                <c:pt idx="16">
                  <c:v>2.0979528479062588</c:v>
                </c:pt>
                <c:pt idx="17">
                  <c:v>1.9243978929621472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0.86723044385625625</c:v>
                </c:pt>
                <c:pt idx="3">
                  <c:v>0.92704466688224663</c:v>
                </c:pt>
                <c:pt idx="4">
                  <c:v>0.9465889990995926</c:v>
                </c:pt>
                <c:pt idx="5">
                  <c:v>0.9537112389836917</c:v>
                </c:pt>
                <c:pt idx="6">
                  <c:v>0.96110288740340877</c:v>
                </c:pt>
                <c:pt idx="7">
                  <c:v>0.96722497018109532</c:v>
                </c:pt>
                <c:pt idx="8">
                  <c:v>0.9722013057641864</c:v>
                </c:pt>
                <c:pt idx="9">
                  <c:v>0.97611358624165678</c:v>
                </c:pt>
                <c:pt idx="10">
                  <c:v>0.9799161262525885</c:v>
                </c:pt>
                <c:pt idx="11">
                  <c:v>0.98292117696525372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0.82155703006404168</c:v>
                </c:pt>
                <c:pt idx="3">
                  <c:v>0.8954392849361742</c:v>
                </c:pt>
                <c:pt idx="4">
                  <c:v>0.92566551582853052</c:v>
                </c:pt>
                <c:pt idx="5">
                  <c:v>0.93992390439053208</c:v>
                </c:pt>
                <c:pt idx="6">
                  <c:v>0.94878242864628126</c:v>
                </c:pt>
                <c:pt idx="7">
                  <c:v>0.95677546360043197</c:v>
                </c:pt>
                <c:pt idx="8">
                  <c:v>0.96296588117227178</c:v>
                </c:pt>
                <c:pt idx="9">
                  <c:v>0.96781139785063397</c:v>
                </c:pt>
                <c:pt idx="10">
                  <c:v>0.9713970326111252</c:v>
                </c:pt>
                <c:pt idx="11">
                  <c:v>0.97477468765721198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0.87028286804875155</c:v>
                </c:pt>
                <c:pt idx="3">
                  <c:v>0.93041684822830339</c:v>
                </c:pt>
                <c:pt idx="4">
                  <c:v>0.95024245116176265</c:v>
                </c:pt>
                <c:pt idx="5">
                  <c:v>0.95725967042590221</c:v>
                </c:pt>
                <c:pt idx="6">
                  <c:v>0.96420977627190563</c:v>
                </c:pt>
                <c:pt idx="7">
                  <c:v>0.97041354804821212</c:v>
                </c:pt>
                <c:pt idx="8">
                  <c:v>0.9751594094397521</c:v>
                </c:pt>
                <c:pt idx="9">
                  <c:v>0.97903304048193573</c:v>
                </c:pt>
                <c:pt idx="10">
                  <c:v>0.98288802332264402</c:v>
                </c:pt>
                <c:pt idx="11">
                  <c:v>0.9859409689318529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33510</c:v>
                </c:pt>
                <c:pt idx="1">
                  <c:v>33625</c:v>
                </c:pt>
                <c:pt idx="2">
                  <c:v>33715</c:v>
                </c:pt>
                <c:pt idx="3">
                  <c:v>33923</c:v>
                </c:pt>
                <c:pt idx="4">
                  <c:v>34003</c:v>
                </c:pt>
                <c:pt idx="5">
                  <c:v>34128</c:v>
                </c:pt>
                <c:pt idx="6">
                  <c:v>34275</c:v>
                </c:pt>
                <c:pt idx="7">
                  <c:v>34312</c:v>
                </c:pt>
                <c:pt idx="8">
                  <c:v>34368</c:v>
                </c:pt>
                <c:pt idx="9">
                  <c:v>34854</c:v>
                </c:pt>
                <c:pt idx="10">
                  <c:v>34805</c:v>
                </c:pt>
                <c:pt idx="11">
                  <c:v>34838</c:v>
                </c:pt>
                <c:pt idx="12">
                  <c:v>34912</c:v>
                </c:pt>
                <c:pt idx="13">
                  <c:v>35020</c:v>
                </c:pt>
                <c:pt idx="14">
                  <c:v>35204</c:v>
                </c:pt>
                <c:pt idx="15">
                  <c:v>35445</c:v>
                </c:pt>
                <c:pt idx="16">
                  <c:v>35634</c:v>
                </c:pt>
                <c:pt idx="17">
                  <c:v>35855</c:v>
                </c:pt>
                <c:pt idx="18">
                  <c:v>36846</c:v>
                </c:pt>
                <c:pt idx="19">
                  <c:v>36903</c:v>
                </c:pt>
                <c:pt idx="20">
                  <c:v>36964</c:v>
                </c:pt>
                <c:pt idx="21">
                  <c:v>37539</c:v>
                </c:pt>
                <c:pt idx="22">
                  <c:v>37591</c:v>
                </c:pt>
                <c:pt idx="23">
                  <c:v>37869</c:v>
                </c:pt>
                <c:pt idx="24">
                  <c:v>38271</c:v>
                </c:pt>
                <c:pt idx="25">
                  <c:v>38658</c:v>
                </c:pt>
                <c:pt idx="26">
                  <c:v>38909</c:v>
                </c:pt>
                <c:pt idx="27">
                  <c:v>39003</c:v>
                </c:pt>
                <c:pt idx="28">
                  <c:v>39172</c:v>
                </c:pt>
                <c:pt idx="29">
                  <c:v>39369</c:v>
                </c:pt>
                <c:pt idx="30">
                  <c:v>39598</c:v>
                </c:pt>
                <c:pt idx="31">
                  <c:v>37790</c:v>
                </c:pt>
                <c:pt idx="32">
                  <c:v>37641</c:v>
                </c:pt>
                <c:pt idx="33">
                  <c:v>32515</c:v>
                </c:pt>
                <c:pt idx="34">
                  <c:v>32222</c:v>
                </c:pt>
                <c:pt idx="35">
                  <c:v>31959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0.12660315225028684</c:v>
                </c:pt>
                <c:pt idx="1">
                  <c:v>0.10191605337778187</c:v>
                </c:pt>
                <c:pt idx="2">
                  <c:v>9.244485769816535E-2</c:v>
                </c:pt>
                <c:pt idx="3">
                  <c:v>8.2053100829343029E-2</c:v>
                </c:pt>
                <c:pt idx="4">
                  <c:v>8.0622857379767154E-2</c:v>
                </c:pt>
                <c:pt idx="5">
                  <c:v>5.0932219681524726E-2</c:v>
                </c:pt>
                <c:pt idx="6">
                  <c:v>4.8319231407772278E-2</c:v>
                </c:pt>
                <c:pt idx="7">
                  <c:v>7.1896090601049512E-2</c:v>
                </c:pt>
                <c:pt idx="8">
                  <c:v>9.6532714345868298E-2</c:v>
                </c:pt>
                <c:pt idx="9">
                  <c:v>0.10064183418108374</c:v>
                </c:pt>
                <c:pt idx="10">
                  <c:v>7.3546671621661952E-2</c:v>
                </c:pt>
                <c:pt idx="11">
                  <c:v>6.440794228016955E-2</c:v>
                </c:pt>
                <c:pt idx="12">
                  <c:v>6.3126163826251247E-2</c:v>
                </c:pt>
                <c:pt idx="13">
                  <c:v>7.4185378475376984E-2</c:v>
                </c:pt>
                <c:pt idx="14">
                  <c:v>6.0793192804551532E-2</c:v>
                </c:pt>
                <c:pt idx="15">
                  <c:v>4.7631681774927825E-2</c:v>
                </c:pt>
                <c:pt idx="16">
                  <c:v>7.9920345364546952E-2</c:v>
                </c:pt>
                <c:pt idx="17">
                  <c:v>0.13353804417781623</c:v>
                </c:pt>
                <c:pt idx="18">
                  <c:v>0.1598851054262389</c:v>
                </c:pt>
                <c:pt idx="19">
                  <c:v>0.13431231988177506</c:v>
                </c:pt>
                <c:pt idx="20">
                  <c:v>7.3643829697767504E-2</c:v>
                </c:pt>
                <c:pt idx="21">
                  <c:v>5.3174507465914012E-2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0.10321943176330128</c:v>
                </c:pt>
                <c:pt idx="4">
                  <c:v>9.0672655302548089E-2</c:v>
                </c:pt>
                <c:pt idx="5">
                  <c:v>7.0984430802118359E-2</c:v>
                </c:pt>
                <c:pt idx="6">
                  <c:v>6.4967564518445986E-2</c:v>
                </c:pt>
                <c:pt idx="7">
                  <c:v>7.6398453925297316E-2</c:v>
                </c:pt>
                <c:pt idx="8">
                  <c:v>7.2655118930522455E-2</c:v>
                </c:pt>
                <c:pt idx="9">
                  <c:v>7.3858154273444887E-2</c:v>
                </c:pt>
                <c:pt idx="10">
                  <c:v>7.2736939305025894E-2</c:v>
                </c:pt>
                <c:pt idx="11">
                  <c:v>7.9722568243961955E-2</c:v>
                </c:pt>
                <c:pt idx="12">
                  <c:v>8.1497214594261402E-2</c:v>
                </c:pt>
                <c:pt idx="13">
                  <c:v>7.3867755655904199E-2</c:v>
                </c:pt>
                <c:pt idx="14">
                  <c:v>6.2580735771507801E-2</c:v>
                </c:pt>
                <c:pt idx="15">
                  <c:v>5.5149355879986928E-2</c:v>
                </c:pt>
                <c:pt idx="16">
                  <c:v>7.7185697080078164E-2</c:v>
                </c:pt>
                <c:pt idx="17">
                  <c:v>9.7695356813257472E-2</c:v>
                </c:pt>
                <c:pt idx="18">
                  <c:v>0.10359703176201807</c:v>
                </c:pt>
                <c:pt idx="19">
                  <c:v>0.10613996974767748</c:v>
                </c:pt>
                <c:pt idx="20">
                  <c:v>0.10437085415604486</c:v>
                </c:pt>
                <c:pt idx="21">
                  <c:v>0.1065000267871945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8.8164630421994961E-2</c:v>
                </c:pt>
                <c:pt idx="10">
                  <c:v>8.1660639627147313E-2</c:v>
                </c:pt>
                <c:pt idx="11">
                  <c:v>7.5323917511502581E-2</c:v>
                </c:pt>
                <c:pt idx="12">
                  <c:v>7.3175046937566934E-2</c:v>
                </c:pt>
                <c:pt idx="13">
                  <c:v>7.5126289590203177E-2</c:v>
                </c:pt>
                <c:pt idx="14">
                  <c:v>6.7477417992287014E-2</c:v>
                </c:pt>
                <c:pt idx="15">
                  <c:v>6.428280781753748E-2</c:v>
                </c:pt>
                <c:pt idx="16">
                  <c:v>7.504685513784537E-2</c:v>
                </c:pt>
                <c:pt idx="17">
                  <c:v>8.9077736772082972E-2</c:v>
                </c:pt>
                <c:pt idx="18">
                  <c:v>9.2971346372429764E-2</c:v>
                </c:pt>
                <c:pt idx="19">
                  <c:v>9.0510761342645685E-2</c:v>
                </c:pt>
                <c:pt idx="20">
                  <c:v>8.3625544666233953E-2</c:v>
                </c:pt>
                <c:pt idx="21">
                  <c:v>8.1132907744349447E-2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8.1949588192925527E-2</c:v>
                </c:pt>
                <c:pt idx="1">
                  <c:v>8.1949588192925527E-2</c:v>
                </c:pt>
                <c:pt idx="2">
                  <c:v>8.1949588192925527E-2</c:v>
                </c:pt>
                <c:pt idx="3">
                  <c:v>8.1949588192925527E-2</c:v>
                </c:pt>
                <c:pt idx="4">
                  <c:v>8.1949588192925527E-2</c:v>
                </c:pt>
                <c:pt idx="5">
                  <c:v>8.1949588192925527E-2</c:v>
                </c:pt>
                <c:pt idx="6">
                  <c:v>8.1949588192925527E-2</c:v>
                </c:pt>
                <c:pt idx="7">
                  <c:v>8.1949588192925527E-2</c:v>
                </c:pt>
                <c:pt idx="8">
                  <c:v>8.1949588192925527E-2</c:v>
                </c:pt>
                <c:pt idx="9">
                  <c:v>8.1949588192925527E-2</c:v>
                </c:pt>
                <c:pt idx="10">
                  <c:v>8.1949588192925527E-2</c:v>
                </c:pt>
                <c:pt idx="11">
                  <c:v>8.1949588192925527E-2</c:v>
                </c:pt>
                <c:pt idx="12">
                  <c:v>8.1949588192925527E-2</c:v>
                </c:pt>
                <c:pt idx="13">
                  <c:v>8.1949588192925527E-2</c:v>
                </c:pt>
                <c:pt idx="14">
                  <c:v>8.1949588192925527E-2</c:v>
                </c:pt>
                <c:pt idx="15">
                  <c:v>8.1949588192925527E-2</c:v>
                </c:pt>
                <c:pt idx="16">
                  <c:v>8.1949588192925527E-2</c:v>
                </c:pt>
                <c:pt idx="17">
                  <c:v>8.1949588192925527E-2</c:v>
                </c:pt>
                <c:pt idx="18">
                  <c:v>8.1949588192925527E-2</c:v>
                </c:pt>
                <c:pt idx="19">
                  <c:v>8.1949588192925527E-2</c:v>
                </c:pt>
                <c:pt idx="20">
                  <c:v>8.1949588192925527E-2</c:v>
                </c:pt>
                <c:pt idx="21">
                  <c:v>8.1949588192925527E-2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100.89458698895866</c:v>
                </c:pt>
                <c:pt idx="1">
                  <c:v>99.675216059479581</c:v>
                </c:pt>
                <c:pt idx="2">
                  <c:v>107.90997929051117</c:v>
                </c:pt>
                <c:pt idx="3">
                  <c:v>108.29673471066521</c:v>
                </c:pt>
                <c:pt idx="4">
                  <c:v>114.76950676537243</c:v>
                </c:pt>
                <c:pt idx="5">
                  <c:v>117.72995171430985</c:v>
                </c:pt>
                <c:pt idx="6">
                  <c:v>120.89931746925885</c:v>
                </c:pt>
                <c:pt idx="7">
                  <c:v>115.59056958502657</c:v>
                </c:pt>
                <c:pt idx="8">
                  <c:v>113.25598207637394</c:v>
                </c:pt>
                <c:pt idx="9">
                  <c:v>102.7346430156375</c:v>
                </c:pt>
                <c:pt idx="10">
                  <c:v>106.26468310460019</c:v>
                </c:pt>
                <c:pt idx="11">
                  <c:v>124.49229284762997</c:v>
                </c:pt>
                <c:pt idx="12">
                  <c:v>113.56621836616137</c:v>
                </c:pt>
                <c:pt idx="13">
                  <c:v>115.66601498146562</c:v>
                </c:pt>
                <c:pt idx="14">
                  <c:v>118.30206184091573</c:v>
                </c:pt>
                <c:pt idx="15">
                  <c:v>114.10729288341315</c:v>
                </c:pt>
                <c:pt idx="16">
                  <c:v>129.16391567246009</c:v>
                </c:pt>
                <c:pt idx="17">
                  <c:v>125.48836903657812</c:v>
                </c:pt>
                <c:pt idx="18">
                  <c:v>127.23851035141863</c:v>
                </c:pt>
                <c:pt idx="19">
                  <c:v>119.53416202431487</c:v>
                </c:pt>
                <c:pt idx="20">
                  <c:v>119.87264833936263</c:v>
                </c:pt>
                <c:pt idx="21">
                  <c:v>116.01377592746509</c:v>
                </c:pt>
                <c:pt idx="22">
                  <c:v>117.47706354236719</c:v>
                </c:pt>
                <c:pt idx="23">
                  <c:v>133.5639877149807</c:v>
                </c:pt>
                <c:pt idx="24">
                  <c:v>118.6059679653001</c:v>
                </c:pt>
                <c:pt idx="25">
                  <c:v>124.33723938124062</c:v>
                </c:pt>
                <c:pt idx="26">
                  <c:v>126.52959469531471</c:v>
                </c:pt>
                <c:pt idx="27">
                  <c:v>123.03063866882034</c:v>
                </c:pt>
                <c:pt idx="28">
                  <c:v>133.99423057285816</c:v>
                </c:pt>
                <c:pt idx="29">
                  <c:v>129.29934720211332</c:v>
                </c:pt>
                <c:pt idx="30">
                  <c:v>149.11806151825849</c:v>
                </c:pt>
                <c:pt idx="31">
                  <c:v>143.55464408573698</c:v>
                </c:pt>
                <c:pt idx="32">
                  <c:v>132.5937408676709</c:v>
                </c:pt>
                <c:pt idx="33">
                  <c:v>127.00956481623867</c:v>
                </c:pt>
                <c:pt idx="34">
                  <c:v>119.78322264291478</c:v>
                </c:pt>
                <c:pt idx="35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107.81544144598891</c:v>
                </c:pt>
                <c:pt idx="2">
                  <c:v>108.5671440804085</c:v>
                </c:pt>
                <c:pt idx="3">
                  <c:v>109.32408767885906</c:v>
                </c:pt>
                <c:pt idx="4">
                  <c:v>110.08630878199189</c:v>
                </c:pt>
                <c:pt idx="5">
                  <c:v>110.8538441852245</c:v>
                </c:pt>
                <c:pt idx="6">
                  <c:v>111.62673094051665</c:v>
                </c:pt>
                <c:pt idx="7">
                  <c:v>112.40500635815863</c:v>
                </c:pt>
                <c:pt idx="8">
                  <c:v>113.18870800857312</c:v>
                </c:pt>
                <c:pt idx="9">
                  <c:v>113.97787372412803</c:v>
                </c:pt>
                <c:pt idx="10">
                  <c:v>114.77254160096365</c:v>
                </c:pt>
                <c:pt idx="11">
                  <c:v>115.57275000083089</c:v>
                </c:pt>
                <c:pt idx="12">
                  <c:v>116.37853755294383</c:v>
                </c:pt>
                <c:pt idx="13">
                  <c:v>117.18994315584423</c:v>
                </c:pt>
                <c:pt idx="14">
                  <c:v>118.00700597927903</c:v>
                </c:pt>
                <c:pt idx="15">
                  <c:v>118.82976546609187</c:v>
                </c:pt>
                <c:pt idx="16">
                  <c:v>119.65826133412641</c:v>
                </c:pt>
                <c:pt idx="17">
                  <c:v>120.49253357814433</c:v>
                </c:pt>
                <c:pt idx="18">
                  <c:v>121.3326224717558</c:v>
                </c:pt>
                <c:pt idx="19">
                  <c:v>122.17856856936321</c:v>
                </c:pt>
                <c:pt idx="20">
                  <c:v>123.03041270811974</c:v>
                </c:pt>
                <c:pt idx="21">
                  <c:v>123.88819600989986</c:v>
                </c:pt>
                <c:pt idx="22">
                  <c:v>124.75195988328512</c:v>
                </c:pt>
                <c:pt idx="23">
                  <c:v>125.62174602556291</c:v>
                </c:pt>
                <c:pt idx="24">
                  <c:v>126.49759642473887</c:v>
                </c:pt>
                <c:pt idx="25">
                  <c:v>127.37955336156473</c:v>
                </c:pt>
                <c:pt idx="26">
                  <c:v>128.26765941157839</c:v>
                </c:pt>
                <c:pt idx="27">
                  <c:v>129.16195744716006</c:v>
                </c:pt>
                <c:pt idx="28">
                  <c:v>130.06249063960141</c:v>
                </c:pt>
                <c:pt idx="29">
                  <c:v>130.9693024611895</c:v>
                </c:pt>
                <c:pt idx="30">
                  <c:v>131.8824366873059</c:v>
                </c:pt>
                <c:pt idx="31">
                  <c:v>132.80193739853922</c:v>
                </c:pt>
                <c:pt idx="32">
                  <c:v>133.72784898281378</c:v>
                </c:pt>
                <c:pt idx="33">
                  <c:v>134.66021613753162</c:v>
                </c:pt>
                <c:pt idx="34">
                  <c:v>135.59908387173093</c:v>
                </c:pt>
                <c:pt idx="35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114.05519439180196</c:v>
                </c:pt>
                <c:pt idx="11">
                  <c:v>114.89934986556719</c:v>
                </c:pt>
                <c:pt idx="12">
                  <c:v>115.74975317808881</c:v>
                </c:pt>
                <c:pt idx="13">
                  <c:v>116.60645057142806</c:v>
                </c:pt>
                <c:pt idx="14">
                  <c:v>117.46948862989706</c:v>
                </c:pt>
                <c:pt idx="15">
                  <c:v>118.33891428259201</c:v>
                </c:pt>
                <c:pt idx="16">
                  <c:v>119.2147748059446</c:v>
                </c:pt>
                <c:pt idx="17">
                  <c:v>120.09711782629336</c:v>
                </c:pt>
                <c:pt idx="18">
                  <c:v>120.98599132247304</c:v>
                </c:pt>
                <c:pt idx="19">
                  <c:v>121.8814436284236</c:v>
                </c:pt>
                <c:pt idx="20">
                  <c:v>122.78352343581848</c:v>
                </c:pt>
                <c:pt idx="21">
                  <c:v>123.69227979671237</c:v>
                </c:pt>
                <c:pt idx="22">
                  <c:v>124.6077621262081</c:v>
                </c:pt>
                <c:pt idx="23">
                  <c:v>125.53002020514427</c:v>
                </c:pt>
                <c:pt idx="24">
                  <c:v>126.45910418280175</c:v>
                </c:pt>
                <c:pt idx="25">
                  <c:v>127.39506457963076</c:v>
                </c:pt>
                <c:pt idx="26">
                  <c:v>128.33795228999793</c:v>
                </c:pt>
                <c:pt idx="27">
                  <c:v>129.28781858495401</c:v>
                </c:pt>
                <c:pt idx="28">
                  <c:v>130.24471511502122</c:v>
                </c:pt>
                <c:pt idx="29">
                  <c:v>131.20869391300258</c:v>
                </c:pt>
                <c:pt idx="30">
                  <c:v>132.17980739681079</c:v>
                </c:pt>
                <c:pt idx="31">
                  <c:v>133.15810837231876</c:v>
                </c:pt>
                <c:pt idx="32">
                  <c:v>134.14365003623089</c:v>
                </c:pt>
                <c:pt idx="33">
                  <c:v>135.13648597897586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119.66679605529622</c:v>
                </c:pt>
                <c:pt idx="17">
                  <c:v>120.50584414736228</c:v>
                </c:pt>
                <c:pt idx="18">
                  <c:v>121.35077525563662</c:v>
                </c:pt>
                <c:pt idx="19">
                  <c:v>122.20163062910154</c:v>
                </c:pt>
                <c:pt idx="20">
                  <c:v>123.05845180595763</c:v>
                </c:pt>
                <c:pt idx="21">
                  <c:v>123.92128061565252</c:v>
                </c:pt>
                <c:pt idx="22">
                  <c:v>124.79015918092209</c:v>
                </c:pt>
                <c:pt idx="23">
                  <c:v>125.66512991984779</c:v>
                </c:pt>
                <c:pt idx="24">
                  <c:v>126.5462355479265</c:v>
                </c:pt>
                <c:pt idx="25">
                  <c:v>127.43351908015683</c:v>
                </c:pt>
                <c:pt idx="26">
                  <c:v>128.32702383313818</c:v>
                </c:pt>
                <c:pt idx="27">
                  <c:v>129.22679342718627</c:v>
                </c:pt>
                <c:pt idx="28">
                  <c:v>130.13287178846184</c:v>
                </c:pt>
                <c:pt idx="29">
                  <c:v>131.04530315111597</c:v>
                </c:pt>
                <c:pt idx="30">
                  <c:v>131.96413205944859</c:v>
                </c:pt>
                <c:pt idx="31">
                  <c:v>132.88940337008407</c:v>
                </c:pt>
                <c:pt idx="32">
                  <c:v>133.82116225416021</c:v>
                </c:pt>
                <c:pt idx="33">
                  <c:v>134.75945419953439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122.34107990088678</c:v>
                </c:pt>
                <c:pt idx="23">
                  <c:v>123.61495901032175</c:v>
                </c:pt>
                <c:pt idx="24">
                  <c:v>124.90210241321212</c:v>
                </c:pt>
                <c:pt idx="25">
                  <c:v>126.20264822429688</c:v>
                </c:pt>
                <c:pt idx="26">
                  <c:v>127.51673599643806</c:v>
                </c:pt>
                <c:pt idx="27">
                  <c:v>128.84450673559436</c:v>
                </c:pt>
                <c:pt idx="28">
                  <c:v>130.18610291595257</c:v>
                </c:pt>
                <c:pt idx="29">
                  <c:v>131.54166849521445</c:v>
                </c:pt>
                <c:pt idx="30">
                  <c:v>132.91134893004491</c:v>
                </c:pt>
                <c:pt idx="31">
                  <c:v>134.29529119167913</c:v>
                </c:pt>
                <c:pt idx="32">
                  <c:v>135.69364378169342</c:v>
                </c:pt>
                <c:pt idx="33">
                  <c:v>137.10655674794032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156"/>
          <c:min val="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127.23851035141863</c:v>
                </c:pt>
                <c:pt idx="1">
                  <c:v>119.53416202431487</c:v>
                </c:pt>
                <c:pt idx="2">
                  <c:v>119.87264833936263</c:v>
                </c:pt>
                <c:pt idx="3">
                  <c:v>116.01377592746509</c:v>
                </c:pt>
                <c:pt idx="4">
                  <c:v>117.47706354236719</c:v>
                </c:pt>
                <c:pt idx="5">
                  <c:v>133.5639877149807</c:v>
                </c:pt>
                <c:pt idx="6">
                  <c:v>118.6059679653001</c:v>
                </c:pt>
                <c:pt idx="7">
                  <c:v>124.33723938124062</c:v>
                </c:pt>
                <c:pt idx="8">
                  <c:v>126.52959469531471</c:v>
                </c:pt>
                <c:pt idx="9">
                  <c:v>123.03063866882034</c:v>
                </c:pt>
                <c:pt idx="10">
                  <c:v>133.99423057285816</c:v>
                </c:pt>
                <c:pt idx="11">
                  <c:v>129.29934720211332</c:v>
                </c:pt>
                <c:pt idx="12">
                  <c:v>149.11806151825849</c:v>
                </c:pt>
                <c:pt idx="13">
                  <c:v>143.55464408573698</c:v>
                </c:pt>
                <c:pt idx="14">
                  <c:v>132.5937408676709</c:v>
                </c:pt>
                <c:pt idx="15">
                  <c:v>127.00956481623867</c:v>
                </c:pt>
                <c:pt idx="16">
                  <c:v>119.78322264291478</c:v>
                </c:pt>
                <c:pt idx="17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121.3326224717558</c:v>
                </c:pt>
                <c:pt idx="1">
                  <c:v>122.17856856936321</c:v>
                </c:pt>
                <c:pt idx="2">
                  <c:v>123.03041270811974</c:v>
                </c:pt>
                <c:pt idx="3">
                  <c:v>123.88819600989986</c:v>
                </c:pt>
                <c:pt idx="4">
                  <c:v>124.75195988328512</c:v>
                </c:pt>
                <c:pt idx="5">
                  <c:v>125.62174602556291</c:v>
                </c:pt>
                <c:pt idx="6">
                  <c:v>126.49759642473887</c:v>
                </c:pt>
                <c:pt idx="7">
                  <c:v>127.37955336156473</c:v>
                </c:pt>
                <c:pt idx="8">
                  <c:v>128.26765941157839</c:v>
                </c:pt>
                <c:pt idx="9">
                  <c:v>129.16195744716006</c:v>
                </c:pt>
                <c:pt idx="10">
                  <c:v>130.06249063960141</c:v>
                </c:pt>
                <c:pt idx="11">
                  <c:v>130.9693024611895</c:v>
                </c:pt>
                <c:pt idx="12">
                  <c:v>131.8824366873059</c:v>
                </c:pt>
                <c:pt idx="13">
                  <c:v>132.80193739853922</c:v>
                </c:pt>
                <c:pt idx="14">
                  <c:v>133.72784898281378</c:v>
                </c:pt>
                <c:pt idx="15">
                  <c:v>134.66021613753162</c:v>
                </c:pt>
                <c:pt idx="16">
                  <c:v>135.59908387173093</c:v>
                </c:pt>
                <c:pt idx="17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120.98599132247304</c:v>
                </c:pt>
                <c:pt idx="1">
                  <c:v>121.8814436284236</c:v>
                </c:pt>
                <c:pt idx="2">
                  <c:v>122.78352343581848</c:v>
                </c:pt>
                <c:pt idx="3">
                  <c:v>123.69227979671237</c:v>
                </c:pt>
                <c:pt idx="4">
                  <c:v>124.6077621262081</c:v>
                </c:pt>
                <c:pt idx="5">
                  <c:v>125.53002020514427</c:v>
                </c:pt>
                <c:pt idx="6">
                  <c:v>126.45910418280175</c:v>
                </c:pt>
                <c:pt idx="7">
                  <c:v>127.39506457963076</c:v>
                </c:pt>
                <c:pt idx="8">
                  <c:v>128.33795228999793</c:v>
                </c:pt>
                <c:pt idx="9">
                  <c:v>129.28781858495401</c:v>
                </c:pt>
                <c:pt idx="10">
                  <c:v>130.24471511502122</c:v>
                </c:pt>
                <c:pt idx="11">
                  <c:v>131.20869391300258</c:v>
                </c:pt>
                <c:pt idx="12">
                  <c:v>132.17980739681079</c:v>
                </c:pt>
                <c:pt idx="13">
                  <c:v>133.15810837231876</c:v>
                </c:pt>
                <c:pt idx="14">
                  <c:v>134.14365003623089</c:v>
                </c:pt>
                <c:pt idx="15">
                  <c:v>135.13648597897586</c:v>
                </c:pt>
                <c:pt idx="16">
                  <c:v>136.1366701876203</c:v>
                </c:pt>
                <c:pt idx="17">
                  <c:v>137.14425704880503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15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1.9703032546388026</c:v>
                </c:pt>
                <c:pt idx="1">
                  <c:v>1.3541882868700801</c:v>
                </c:pt>
                <c:pt idx="2">
                  <c:v>1.3091605828770831</c:v>
                </c:pt>
                <c:pt idx="3">
                  <c:v>1.6158398339019835</c:v>
                </c:pt>
                <c:pt idx="4">
                  <c:v>2.0576352708641736</c:v>
                </c:pt>
                <c:pt idx="5">
                  <c:v>1.4387885331659314</c:v>
                </c:pt>
                <c:pt idx="6">
                  <c:v>1.7952011743107614</c:v>
                </c:pt>
                <c:pt idx="7">
                  <c:v>1.5149523779382967</c:v>
                </c:pt>
                <c:pt idx="8">
                  <c:v>1.3379411698781707</c:v>
                </c:pt>
                <c:pt idx="9">
                  <c:v>1.6165545564957222</c:v>
                </c:pt>
                <c:pt idx="10">
                  <c:v>1.6396761994997362</c:v>
                </c:pt>
                <c:pt idx="11">
                  <c:v>1.7104329921582144</c:v>
                </c:pt>
                <c:pt idx="12">
                  <c:v>1.3306447428196719</c:v>
                </c:pt>
                <c:pt idx="13">
                  <c:v>1.6605872177576302</c:v>
                </c:pt>
                <c:pt idx="14">
                  <c:v>1.7008069137955482</c:v>
                </c:pt>
                <c:pt idx="15">
                  <c:v>1.8393085614325182</c:v>
                </c:pt>
                <c:pt idx="16">
                  <c:v>2.0979528479062588</c:v>
                </c:pt>
                <c:pt idx="17">
                  <c:v>1.9243978929621472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0.86723044385625625</c:v>
                </c:pt>
                <c:pt idx="3">
                  <c:v>0.92704466688224663</c:v>
                </c:pt>
                <c:pt idx="4">
                  <c:v>0.9465889990995926</c:v>
                </c:pt>
                <c:pt idx="5">
                  <c:v>0.9537112389836917</c:v>
                </c:pt>
                <c:pt idx="6">
                  <c:v>0.96110288740340877</c:v>
                </c:pt>
                <c:pt idx="7">
                  <c:v>0.96722497018109532</c:v>
                </c:pt>
                <c:pt idx="8">
                  <c:v>0.9722013057641864</c:v>
                </c:pt>
                <c:pt idx="9">
                  <c:v>0.97611358624165678</c:v>
                </c:pt>
                <c:pt idx="10">
                  <c:v>0.9799161262525885</c:v>
                </c:pt>
                <c:pt idx="11">
                  <c:v>0.98292117696525372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0.82155703006404168</c:v>
                </c:pt>
                <c:pt idx="3">
                  <c:v>0.8954392849361742</c:v>
                </c:pt>
                <c:pt idx="4">
                  <c:v>0.92566551582853052</c:v>
                </c:pt>
                <c:pt idx="5">
                  <c:v>0.93992390439053208</c:v>
                </c:pt>
                <c:pt idx="6">
                  <c:v>0.94878242864628126</c:v>
                </c:pt>
                <c:pt idx="7">
                  <c:v>0.95677546360043197</c:v>
                </c:pt>
                <c:pt idx="8">
                  <c:v>0.96296588117227178</c:v>
                </c:pt>
                <c:pt idx="9">
                  <c:v>0.96781139785063397</c:v>
                </c:pt>
                <c:pt idx="10">
                  <c:v>0.9713970326111252</c:v>
                </c:pt>
                <c:pt idx="11">
                  <c:v>0.97477468765721198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0.87028286804875155</c:v>
                </c:pt>
                <c:pt idx="3">
                  <c:v>0.93041684822830339</c:v>
                </c:pt>
                <c:pt idx="4">
                  <c:v>0.95024245116176265</c:v>
                </c:pt>
                <c:pt idx="5">
                  <c:v>0.95725967042590221</c:v>
                </c:pt>
                <c:pt idx="6">
                  <c:v>0.96420977627190563</c:v>
                </c:pt>
                <c:pt idx="7">
                  <c:v>0.97041354804821212</c:v>
                </c:pt>
                <c:pt idx="8">
                  <c:v>0.9751594094397521</c:v>
                </c:pt>
                <c:pt idx="9">
                  <c:v>0.97903304048193573</c:v>
                </c:pt>
                <c:pt idx="10">
                  <c:v>0.98288802332264402</c:v>
                </c:pt>
                <c:pt idx="11">
                  <c:v>0.9859409689318529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33510</c:v>
                </c:pt>
                <c:pt idx="1">
                  <c:v>33625</c:v>
                </c:pt>
                <c:pt idx="2">
                  <c:v>33715</c:v>
                </c:pt>
                <c:pt idx="3">
                  <c:v>33923</c:v>
                </c:pt>
                <c:pt idx="4">
                  <c:v>34003</c:v>
                </c:pt>
                <c:pt idx="5">
                  <c:v>34128</c:v>
                </c:pt>
                <c:pt idx="6">
                  <c:v>34275</c:v>
                </c:pt>
                <c:pt idx="7">
                  <c:v>34312</c:v>
                </c:pt>
                <c:pt idx="8">
                  <c:v>34368</c:v>
                </c:pt>
                <c:pt idx="9">
                  <c:v>34854</c:v>
                </c:pt>
                <c:pt idx="10">
                  <c:v>34805</c:v>
                </c:pt>
                <c:pt idx="11">
                  <c:v>34838</c:v>
                </c:pt>
                <c:pt idx="12">
                  <c:v>34912</c:v>
                </c:pt>
                <c:pt idx="13">
                  <c:v>35020</c:v>
                </c:pt>
                <c:pt idx="14">
                  <c:v>35204</c:v>
                </c:pt>
                <c:pt idx="15">
                  <c:v>35445</c:v>
                </c:pt>
                <c:pt idx="16">
                  <c:v>35634</c:v>
                </c:pt>
                <c:pt idx="17">
                  <c:v>35855</c:v>
                </c:pt>
                <c:pt idx="18">
                  <c:v>36846</c:v>
                </c:pt>
                <c:pt idx="19">
                  <c:v>36903</c:v>
                </c:pt>
                <c:pt idx="20">
                  <c:v>36964</c:v>
                </c:pt>
                <c:pt idx="21">
                  <c:v>37539</c:v>
                </c:pt>
                <c:pt idx="22">
                  <c:v>37591</c:v>
                </c:pt>
                <c:pt idx="23">
                  <c:v>37869</c:v>
                </c:pt>
                <c:pt idx="24">
                  <c:v>38271</c:v>
                </c:pt>
                <c:pt idx="25">
                  <c:v>38658</c:v>
                </c:pt>
                <c:pt idx="26">
                  <c:v>38909</c:v>
                </c:pt>
                <c:pt idx="27">
                  <c:v>39003</c:v>
                </c:pt>
                <c:pt idx="28">
                  <c:v>39172</c:v>
                </c:pt>
                <c:pt idx="29">
                  <c:v>39369</c:v>
                </c:pt>
                <c:pt idx="30">
                  <c:v>39598</c:v>
                </c:pt>
                <c:pt idx="31">
                  <c:v>37790</c:v>
                </c:pt>
                <c:pt idx="32">
                  <c:v>37641</c:v>
                </c:pt>
                <c:pt idx="33">
                  <c:v>32515</c:v>
                </c:pt>
                <c:pt idx="34">
                  <c:v>32222</c:v>
                </c:pt>
                <c:pt idx="35">
                  <c:v>31959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0.12660315225028684</c:v>
                </c:pt>
                <c:pt idx="1">
                  <c:v>0.10191605337778187</c:v>
                </c:pt>
                <c:pt idx="2">
                  <c:v>9.244485769816535E-2</c:v>
                </c:pt>
                <c:pt idx="3">
                  <c:v>8.2053100829343029E-2</c:v>
                </c:pt>
                <c:pt idx="4">
                  <c:v>8.0622857379767154E-2</c:v>
                </c:pt>
                <c:pt idx="5">
                  <c:v>5.0932219681524726E-2</c:v>
                </c:pt>
                <c:pt idx="6">
                  <c:v>4.8319231407772278E-2</c:v>
                </c:pt>
                <c:pt idx="7">
                  <c:v>7.1896090601049512E-2</c:v>
                </c:pt>
                <c:pt idx="8">
                  <c:v>9.6532714345868298E-2</c:v>
                </c:pt>
                <c:pt idx="9">
                  <c:v>0.10064183418108374</c:v>
                </c:pt>
                <c:pt idx="10">
                  <c:v>7.3546671621661952E-2</c:v>
                </c:pt>
                <c:pt idx="11">
                  <c:v>6.440794228016955E-2</c:v>
                </c:pt>
                <c:pt idx="12">
                  <c:v>6.3126163826251247E-2</c:v>
                </c:pt>
                <c:pt idx="13">
                  <c:v>7.4185378475376984E-2</c:v>
                </c:pt>
                <c:pt idx="14">
                  <c:v>6.0793192804551532E-2</c:v>
                </c:pt>
                <c:pt idx="15">
                  <c:v>4.7631681774927825E-2</c:v>
                </c:pt>
                <c:pt idx="16">
                  <c:v>7.9920345364546952E-2</c:v>
                </c:pt>
                <c:pt idx="17">
                  <c:v>0.13353804417781623</c:v>
                </c:pt>
                <c:pt idx="18">
                  <c:v>0.1598851054262389</c:v>
                </c:pt>
                <c:pt idx="19">
                  <c:v>0.13431231988177506</c:v>
                </c:pt>
                <c:pt idx="20">
                  <c:v>7.3643829697767504E-2</c:v>
                </c:pt>
                <c:pt idx="21">
                  <c:v>5.3174507465914012E-2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0.10321943176330128</c:v>
                </c:pt>
                <c:pt idx="4">
                  <c:v>9.0672655302548089E-2</c:v>
                </c:pt>
                <c:pt idx="5">
                  <c:v>7.0984430802118359E-2</c:v>
                </c:pt>
                <c:pt idx="6">
                  <c:v>6.4967564518445986E-2</c:v>
                </c:pt>
                <c:pt idx="7">
                  <c:v>7.6398453925297316E-2</c:v>
                </c:pt>
                <c:pt idx="8">
                  <c:v>7.2655118930522455E-2</c:v>
                </c:pt>
                <c:pt idx="9">
                  <c:v>7.3858154273444887E-2</c:v>
                </c:pt>
                <c:pt idx="10">
                  <c:v>7.2736939305025894E-2</c:v>
                </c:pt>
                <c:pt idx="11">
                  <c:v>7.9722568243961955E-2</c:v>
                </c:pt>
                <c:pt idx="12">
                  <c:v>8.1497214594261402E-2</c:v>
                </c:pt>
                <c:pt idx="13">
                  <c:v>7.3867755655904199E-2</c:v>
                </c:pt>
                <c:pt idx="14">
                  <c:v>6.2580735771507801E-2</c:v>
                </c:pt>
                <c:pt idx="15">
                  <c:v>5.5149355879986928E-2</c:v>
                </c:pt>
                <c:pt idx="16">
                  <c:v>7.7185697080078164E-2</c:v>
                </c:pt>
                <c:pt idx="17">
                  <c:v>9.7695356813257472E-2</c:v>
                </c:pt>
                <c:pt idx="18">
                  <c:v>0.10359703176201807</c:v>
                </c:pt>
                <c:pt idx="19">
                  <c:v>0.10613996974767748</c:v>
                </c:pt>
                <c:pt idx="20">
                  <c:v>0.10437085415604486</c:v>
                </c:pt>
                <c:pt idx="21">
                  <c:v>0.1065000267871945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8.8164630421994961E-2</c:v>
                </c:pt>
                <c:pt idx="10">
                  <c:v>8.1660639627147313E-2</c:v>
                </c:pt>
                <c:pt idx="11">
                  <c:v>7.5323917511502581E-2</c:v>
                </c:pt>
                <c:pt idx="12">
                  <c:v>7.3175046937566934E-2</c:v>
                </c:pt>
                <c:pt idx="13">
                  <c:v>7.5126289590203177E-2</c:v>
                </c:pt>
                <c:pt idx="14">
                  <c:v>6.7477417992287014E-2</c:v>
                </c:pt>
                <c:pt idx="15">
                  <c:v>6.428280781753748E-2</c:v>
                </c:pt>
                <c:pt idx="16">
                  <c:v>7.504685513784537E-2</c:v>
                </c:pt>
                <c:pt idx="17">
                  <c:v>8.9077736772082972E-2</c:v>
                </c:pt>
                <c:pt idx="18">
                  <c:v>9.2971346372429764E-2</c:v>
                </c:pt>
                <c:pt idx="19">
                  <c:v>9.0510761342645685E-2</c:v>
                </c:pt>
                <c:pt idx="20">
                  <c:v>8.3625544666233953E-2</c:v>
                </c:pt>
                <c:pt idx="21">
                  <c:v>8.1132907744349447E-2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8.1949588192925527E-2</c:v>
                </c:pt>
                <c:pt idx="1">
                  <c:v>8.1949588192925527E-2</c:v>
                </c:pt>
                <c:pt idx="2">
                  <c:v>8.1949588192925527E-2</c:v>
                </c:pt>
                <c:pt idx="3">
                  <c:v>8.1949588192925527E-2</c:v>
                </c:pt>
                <c:pt idx="4">
                  <c:v>8.1949588192925527E-2</c:v>
                </c:pt>
                <c:pt idx="5">
                  <c:v>8.1949588192925527E-2</c:v>
                </c:pt>
                <c:pt idx="6">
                  <c:v>8.1949588192925527E-2</c:v>
                </c:pt>
                <c:pt idx="7">
                  <c:v>8.1949588192925527E-2</c:v>
                </c:pt>
                <c:pt idx="8">
                  <c:v>8.1949588192925527E-2</c:v>
                </c:pt>
                <c:pt idx="9">
                  <c:v>8.1949588192925527E-2</c:v>
                </c:pt>
                <c:pt idx="10">
                  <c:v>8.1949588192925527E-2</c:v>
                </c:pt>
                <c:pt idx="11">
                  <c:v>8.1949588192925527E-2</c:v>
                </c:pt>
                <c:pt idx="12">
                  <c:v>8.1949588192925527E-2</c:v>
                </c:pt>
                <c:pt idx="13">
                  <c:v>8.1949588192925527E-2</c:v>
                </c:pt>
                <c:pt idx="14">
                  <c:v>8.1949588192925527E-2</c:v>
                </c:pt>
                <c:pt idx="15">
                  <c:v>8.1949588192925527E-2</c:v>
                </c:pt>
                <c:pt idx="16">
                  <c:v>8.1949588192925527E-2</c:v>
                </c:pt>
                <c:pt idx="17">
                  <c:v>8.1949588192925527E-2</c:v>
                </c:pt>
                <c:pt idx="18">
                  <c:v>8.1949588192925527E-2</c:v>
                </c:pt>
                <c:pt idx="19">
                  <c:v>8.1949588192925527E-2</c:v>
                </c:pt>
                <c:pt idx="20">
                  <c:v>8.1949588192925527E-2</c:v>
                </c:pt>
                <c:pt idx="21">
                  <c:v>8.1949588192925527E-2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4688230.1524083707</c:v>
                </c:pt>
                <c:pt idx="1">
                  <c:v>4411169.1811832916</c:v>
                </c:pt>
                <c:pt idx="2">
                  <c:v>4430972.5732161999</c:v>
                </c:pt>
                <c:pt idx="3">
                  <c:v>4355041.134541112</c:v>
                </c:pt>
                <c:pt idx="4">
                  <c:v>4416080.295621125</c:v>
                </c:pt>
                <c:pt idx="5">
                  <c:v>5057934.6507786037</c:v>
                </c:pt>
                <c:pt idx="6">
                  <c:v>4539169</c:v>
                </c:pt>
                <c:pt idx="7">
                  <c:v>4806629</c:v>
                </c:pt>
                <c:pt idx="8">
                  <c:v>4923140</c:v>
                </c:pt>
                <c:pt idx="9">
                  <c:v>4798564</c:v>
                </c:pt>
                <c:pt idx="10">
                  <c:v>5248822</c:v>
                </c:pt>
                <c:pt idx="11">
                  <c:v>5090386</c:v>
                </c:pt>
                <c:pt idx="12">
                  <c:v>5904777</c:v>
                </c:pt>
                <c:pt idx="13">
                  <c:v>5424930</c:v>
                </c:pt>
                <c:pt idx="14">
                  <c:v>4990961</c:v>
                </c:pt>
                <c:pt idx="15">
                  <c:v>4129716</c:v>
                </c:pt>
                <c:pt idx="16">
                  <c:v>3859655</c:v>
                </c:pt>
                <c:pt idx="17">
                  <c:v>4467229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4688230.1524083707</c:v>
                </c:pt>
                <c:pt idx="1">
                  <c:v>4411169.1811832916</c:v>
                </c:pt>
                <c:pt idx="2">
                  <c:v>4430972.5732161999</c:v>
                </c:pt>
                <c:pt idx="3">
                  <c:v>4355041.134541112</c:v>
                </c:pt>
                <c:pt idx="4">
                  <c:v>4416080.295621125</c:v>
                </c:pt>
                <c:pt idx="5">
                  <c:v>5057934.6507786037</c:v>
                </c:pt>
                <c:pt idx="6">
                  <c:v>4539169</c:v>
                </c:pt>
                <c:pt idx="7">
                  <c:v>4806629</c:v>
                </c:pt>
                <c:pt idx="8">
                  <c:v>4923140</c:v>
                </c:pt>
                <c:pt idx="9">
                  <c:v>4798564</c:v>
                </c:pt>
                <c:pt idx="10">
                  <c:v>5248822</c:v>
                </c:pt>
                <c:pt idx="11">
                  <c:v>5090386</c:v>
                </c:pt>
                <c:pt idx="12">
                  <c:v>5904777</c:v>
                </c:pt>
                <c:pt idx="13">
                  <c:v>5424930</c:v>
                </c:pt>
                <c:pt idx="14">
                  <c:v>4990961</c:v>
                </c:pt>
                <c:pt idx="15">
                  <c:v>4129716</c:v>
                </c:pt>
                <c:pt idx="16">
                  <c:v>3859655</c:v>
                </c:pt>
                <c:pt idx="17">
                  <c:v>4467229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0.91</c:v>
                </c:pt>
                <c:pt idx="1">
                  <c:v>0.93</c:v>
                </c:pt>
                <c:pt idx="2">
                  <c:v>1.08</c:v>
                </c:pt>
                <c:pt idx="3">
                  <c:v>0.95</c:v>
                </c:pt>
                <c:pt idx="4">
                  <c:v>0.93</c:v>
                </c:pt>
                <c:pt idx="5">
                  <c:v>1</c:v>
                </c:pt>
                <c:pt idx="6">
                  <c:v>0.99</c:v>
                </c:pt>
                <c:pt idx="7">
                  <c:v>1.05</c:v>
                </c:pt>
                <c:pt idx="8">
                  <c:v>1.07</c:v>
                </c:pt>
                <c:pt idx="9">
                  <c:v>1.0900000000000001</c:v>
                </c:pt>
                <c:pt idx="10">
                  <c:v>1.03</c:v>
                </c:pt>
                <c:pt idx="11">
                  <c:v>1.01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0.94</c:v>
                </c:pt>
                <c:pt idx="1">
                  <c:v>0.95</c:v>
                </c:pt>
                <c:pt idx="2">
                  <c:v>1.07</c:v>
                </c:pt>
                <c:pt idx="3">
                  <c:v>0.98</c:v>
                </c:pt>
                <c:pt idx="4">
                  <c:v>0.99</c:v>
                </c:pt>
                <c:pt idx="5">
                  <c:v>1.01</c:v>
                </c:pt>
                <c:pt idx="6">
                  <c:v>0.96</c:v>
                </c:pt>
                <c:pt idx="7">
                  <c:v>1.08</c:v>
                </c:pt>
                <c:pt idx="8">
                  <c:v>1.05</c:v>
                </c:pt>
                <c:pt idx="9">
                  <c:v>1.05</c:v>
                </c:pt>
                <c:pt idx="10">
                  <c:v>0.98</c:v>
                </c:pt>
                <c:pt idx="11">
                  <c:v>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0.94</c:v>
                </c:pt>
                <c:pt idx="4">
                  <c:v>0.98</c:v>
                </c:pt>
                <c:pt idx="5">
                  <c:v>0.99</c:v>
                </c:pt>
                <c:pt idx="6">
                  <c:v>0.96</c:v>
                </c:pt>
                <c:pt idx="7">
                  <c:v>1.04</c:v>
                </c:pt>
                <c:pt idx="8">
                  <c:v>0.99</c:v>
                </c:pt>
                <c:pt idx="9">
                  <c:v>1.1399999999999999</c:v>
                </c:pt>
                <c:pt idx="10">
                  <c:v>1.0900000000000001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0.95996894349474993</c:v>
                </c:pt>
                <c:pt idx="1">
                  <c:v>0.96743668761798851</c:v>
                </c:pt>
                <c:pt idx="2">
                  <c:v>1.0357484915997783</c:v>
                </c:pt>
                <c:pt idx="3">
                  <c:v>0.9764380971969604</c:v>
                </c:pt>
                <c:pt idx="4">
                  <c:v>0.98177381956693655</c:v>
                </c:pt>
                <c:pt idx="5">
                  <c:v>0.99768774115943937</c:v>
                </c:pt>
                <c:pt idx="6">
                  <c:v>0.98444066710454592</c:v>
                </c:pt>
                <c:pt idx="7">
                  <c:v>1.0259822502935747</c:v>
                </c:pt>
                <c:pt idx="8">
                  <c:v>1.0157419155898675</c:v>
                </c:pt>
                <c:pt idx="9">
                  <c:v>1.0444261328259303</c:v>
                </c:pt>
                <c:pt idx="10">
                  <c:v>1.0152841769694838</c:v>
                </c:pt>
                <c:pt idx="11">
                  <c:v>0.99507107658074556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1950000524520874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0.10064183418108374</c:v>
                </c:pt>
                <c:pt idx="1">
                  <c:v>7.3546671621661952E-2</c:v>
                </c:pt>
                <c:pt idx="2">
                  <c:v>6.440794228016955E-2</c:v>
                </c:pt>
                <c:pt idx="3">
                  <c:v>6.3126163826251247E-2</c:v>
                </c:pt>
                <c:pt idx="4">
                  <c:v>7.4185378475376984E-2</c:v>
                </c:pt>
                <c:pt idx="5">
                  <c:v>6.0793192804551532E-2</c:v>
                </c:pt>
                <c:pt idx="6">
                  <c:v>4.7631681774927825E-2</c:v>
                </c:pt>
                <c:pt idx="7">
                  <c:v>7.9920345364546952E-2</c:v>
                </c:pt>
                <c:pt idx="8">
                  <c:v>0.13353804417781623</c:v>
                </c:pt>
                <c:pt idx="9">
                  <c:v>0.1598851054262389</c:v>
                </c:pt>
                <c:pt idx="10">
                  <c:v>0.13431231988177506</c:v>
                </c:pt>
                <c:pt idx="11">
                  <c:v>7.3643829697767504E-2</c:v>
                </c:pt>
                <c:pt idx="12">
                  <c:v>5.3174507465914012E-2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7.3858154273444887E-2</c:v>
                </c:pt>
                <c:pt idx="1">
                  <c:v>7.2736939305025894E-2</c:v>
                </c:pt>
                <c:pt idx="2">
                  <c:v>7.9722568243961955E-2</c:v>
                </c:pt>
                <c:pt idx="3">
                  <c:v>8.1497214594261402E-2</c:v>
                </c:pt>
                <c:pt idx="4">
                  <c:v>7.3867755655904199E-2</c:v>
                </c:pt>
                <c:pt idx="5">
                  <c:v>6.2580735771507801E-2</c:v>
                </c:pt>
                <c:pt idx="6">
                  <c:v>5.5149355879986928E-2</c:v>
                </c:pt>
                <c:pt idx="7">
                  <c:v>7.7185697080078164E-2</c:v>
                </c:pt>
                <c:pt idx="8">
                  <c:v>9.7695356813257472E-2</c:v>
                </c:pt>
                <c:pt idx="9">
                  <c:v>0.10359703176201807</c:v>
                </c:pt>
                <c:pt idx="10">
                  <c:v>0.10613996974767748</c:v>
                </c:pt>
                <c:pt idx="11">
                  <c:v>0.10437085415604486</c:v>
                </c:pt>
                <c:pt idx="12">
                  <c:v>0.1065000267871945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8.8164630421994961E-2</c:v>
                </c:pt>
                <c:pt idx="1">
                  <c:v>8.1660639627147313E-2</c:v>
                </c:pt>
                <c:pt idx="2">
                  <c:v>7.5323917511502581E-2</c:v>
                </c:pt>
                <c:pt idx="3">
                  <c:v>7.3175046937566934E-2</c:v>
                </c:pt>
                <c:pt idx="4">
                  <c:v>7.5126289590203177E-2</c:v>
                </c:pt>
                <c:pt idx="5">
                  <c:v>6.7477417992287014E-2</c:v>
                </c:pt>
                <c:pt idx="6">
                  <c:v>6.428280781753748E-2</c:v>
                </c:pt>
                <c:pt idx="7">
                  <c:v>7.504685513784537E-2</c:v>
                </c:pt>
                <c:pt idx="8">
                  <c:v>8.9077736772082972E-2</c:v>
                </c:pt>
                <c:pt idx="9">
                  <c:v>9.2971346372429764E-2</c:v>
                </c:pt>
                <c:pt idx="10">
                  <c:v>9.0510761342645685E-2</c:v>
                </c:pt>
                <c:pt idx="11">
                  <c:v>8.3625544666233953E-2</c:v>
                </c:pt>
                <c:pt idx="12">
                  <c:v>8.1132907744349447E-2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9.2447697714801436E-2</c:v>
                </c:pt>
                <c:pt idx="1">
                  <c:v>9.2447697714801436E-2</c:v>
                </c:pt>
                <c:pt idx="2">
                  <c:v>9.2447697714801436E-2</c:v>
                </c:pt>
                <c:pt idx="3">
                  <c:v>9.2447697714801436E-2</c:v>
                </c:pt>
                <c:pt idx="4">
                  <c:v>9.2447697714801436E-2</c:v>
                </c:pt>
                <c:pt idx="5">
                  <c:v>9.2447697714801436E-2</c:v>
                </c:pt>
                <c:pt idx="6">
                  <c:v>9.2447697714801436E-2</c:v>
                </c:pt>
                <c:pt idx="7">
                  <c:v>9.2447697714801436E-2</c:v>
                </c:pt>
                <c:pt idx="8">
                  <c:v>9.2447697714801436E-2</c:v>
                </c:pt>
                <c:pt idx="9">
                  <c:v>9.2447697714801436E-2</c:v>
                </c:pt>
                <c:pt idx="10">
                  <c:v>9.2447697714801436E-2</c:v>
                </c:pt>
                <c:pt idx="11">
                  <c:v>9.2447697714801436E-2</c:v>
                </c:pt>
                <c:pt idx="12">
                  <c:v>9.2447697714801436E-2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0.12660315225028684</c:v>
                </c:pt>
                <c:pt idx="1">
                  <c:v>0.10191605337778187</c:v>
                </c:pt>
                <c:pt idx="2">
                  <c:v>9.244485769816535E-2</c:v>
                </c:pt>
                <c:pt idx="3">
                  <c:v>8.2053100829343029E-2</c:v>
                </c:pt>
                <c:pt idx="4">
                  <c:v>8.0622857379767154E-2</c:v>
                </c:pt>
                <c:pt idx="5">
                  <c:v>5.0932219681524726E-2</c:v>
                </c:pt>
                <c:pt idx="6">
                  <c:v>4.8319231407772278E-2</c:v>
                </c:pt>
                <c:pt idx="7">
                  <c:v>7.1896090601049512E-2</c:v>
                </c:pt>
                <c:pt idx="8">
                  <c:v>9.6532714345868298E-2</c:v>
                </c:pt>
                <c:pt idx="9">
                  <c:v>0.10064183418108374</c:v>
                </c:pt>
                <c:pt idx="10">
                  <c:v>7.3546671621661952E-2</c:v>
                </c:pt>
                <c:pt idx="11">
                  <c:v>6.440794228016955E-2</c:v>
                </c:pt>
                <c:pt idx="12">
                  <c:v>6.3126163826251247E-2</c:v>
                </c:pt>
                <c:pt idx="13">
                  <c:v>7.4185378475376984E-2</c:v>
                </c:pt>
                <c:pt idx="14">
                  <c:v>6.0793192804551532E-2</c:v>
                </c:pt>
                <c:pt idx="15">
                  <c:v>4.7631681774927825E-2</c:v>
                </c:pt>
                <c:pt idx="16">
                  <c:v>7.9920345364546952E-2</c:v>
                </c:pt>
                <c:pt idx="17">
                  <c:v>0.13353804417781623</c:v>
                </c:pt>
                <c:pt idx="18">
                  <c:v>0.1598851054262389</c:v>
                </c:pt>
                <c:pt idx="19">
                  <c:v>0.13431231988177506</c:v>
                </c:pt>
                <c:pt idx="20">
                  <c:v>7.3643829697767504E-2</c:v>
                </c:pt>
                <c:pt idx="21">
                  <c:v>5.3174507465914012E-2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0.10321943176330128</c:v>
                </c:pt>
                <c:pt idx="4">
                  <c:v>9.0672655302548089E-2</c:v>
                </c:pt>
                <c:pt idx="5">
                  <c:v>7.0984430802118359E-2</c:v>
                </c:pt>
                <c:pt idx="6">
                  <c:v>6.4967564518445986E-2</c:v>
                </c:pt>
                <c:pt idx="7">
                  <c:v>7.6398453925297316E-2</c:v>
                </c:pt>
                <c:pt idx="8">
                  <c:v>7.2655118930522455E-2</c:v>
                </c:pt>
                <c:pt idx="9">
                  <c:v>7.3858154273444887E-2</c:v>
                </c:pt>
                <c:pt idx="10">
                  <c:v>7.2736939305025894E-2</c:v>
                </c:pt>
                <c:pt idx="11">
                  <c:v>7.9722568243961955E-2</c:v>
                </c:pt>
                <c:pt idx="12">
                  <c:v>8.1497214594261402E-2</c:v>
                </c:pt>
                <c:pt idx="13">
                  <c:v>7.3867755655904199E-2</c:v>
                </c:pt>
                <c:pt idx="14">
                  <c:v>6.2580735771507801E-2</c:v>
                </c:pt>
                <c:pt idx="15">
                  <c:v>5.5149355879986928E-2</c:v>
                </c:pt>
                <c:pt idx="16">
                  <c:v>7.7185697080078164E-2</c:v>
                </c:pt>
                <c:pt idx="17">
                  <c:v>9.7695356813257472E-2</c:v>
                </c:pt>
                <c:pt idx="18">
                  <c:v>0.10359703176201807</c:v>
                </c:pt>
                <c:pt idx="19">
                  <c:v>0.10613996974767748</c:v>
                </c:pt>
                <c:pt idx="20">
                  <c:v>0.10437085415604486</c:v>
                </c:pt>
                <c:pt idx="21">
                  <c:v>0.1065000267871945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8.8164630421994961E-2</c:v>
                </c:pt>
                <c:pt idx="10">
                  <c:v>8.1660639627147313E-2</c:v>
                </c:pt>
                <c:pt idx="11">
                  <c:v>7.5323917511502581E-2</c:v>
                </c:pt>
                <c:pt idx="12">
                  <c:v>7.3175046937566934E-2</c:v>
                </c:pt>
                <c:pt idx="13">
                  <c:v>7.5126289590203177E-2</c:v>
                </c:pt>
                <c:pt idx="14">
                  <c:v>6.7477417992287014E-2</c:v>
                </c:pt>
                <c:pt idx="15">
                  <c:v>6.428280781753748E-2</c:v>
                </c:pt>
                <c:pt idx="16">
                  <c:v>7.504685513784537E-2</c:v>
                </c:pt>
                <c:pt idx="17">
                  <c:v>8.9077736772082972E-2</c:v>
                </c:pt>
                <c:pt idx="18">
                  <c:v>9.2971346372429764E-2</c:v>
                </c:pt>
                <c:pt idx="19">
                  <c:v>9.0510761342645685E-2</c:v>
                </c:pt>
                <c:pt idx="20">
                  <c:v>8.3625544666233953E-2</c:v>
                </c:pt>
                <c:pt idx="21">
                  <c:v>8.1132907744349447E-2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8.1949588192925527E-2</c:v>
                </c:pt>
                <c:pt idx="1">
                  <c:v>8.1949588192925527E-2</c:v>
                </c:pt>
                <c:pt idx="2">
                  <c:v>8.1949588192925527E-2</c:v>
                </c:pt>
                <c:pt idx="3">
                  <c:v>8.1949588192925527E-2</c:v>
                </c:pt>
                <c:pt idx="4">
                  <c:v>8.1949588192925527E-2</c:v>
                </c:pt>
                <c:pt idx="5">
                  <c:v>8.1949588192925527E-2</c:v>
                </c:pt>
                <c:pt idx="6">
                  <c:v>8.1949588192925527E-2</c:v>
                </c:pt>
                <c:pt idx="7">
                  <c:v>8.1949588192925527E-2</c:v>
                </c:pt>
                <c:pt idx="8">
                  <c:v>8.1949588192925527E-2</c:v>
                </c:pt>
                <c:pt idx="9">
                  <c:v>8.1949588192925527E-2</c:v>
                </c:pt>
                <c:pt idx="10">
                  <c:v>8.1949588192925527E-2</c:v>
                </c:pt>
                <c:pt idx="11">
                  <c:v>8.1949588192925527E-2</c:v>
                </c:pt>
                <c:pt idx="12">
                  <c:v>8.1949588192925527E-2</c:v>
                </c:pt>
                <c:pt idx="13">
                  <c:v>8.1949588192925527E-2</c:v>
                </c:pt>
                <c:pt idx="14">
                  <c:v>8.1949588192925527E-2</c:v>
                </c:pt>
                <c:pt idx="15">
                  <c:v>8.1949588192925527E-2</c:v>
                </c:pt>
                <c:pt idx="16">
                  <c:v>8.1949588192925527E-2</c:v>
                </c:pt>
                <c:pt idx="17">
                  <c:v>8.1949588192925527E-2</c:v>
                </c:pt>
                <c:pt idx="18">
                  <c:v>8.1949588192925527E-2</c:v>
                </c:pt>
                <c:pt idx="19">
                  <c:v>8.1949588192925527E-2</c:v>
                </c:pt>
                <c:pt idx="20">
                  <c:v>8.1949588192925527E-2</c:v>
                </c:pt>
                <c:pt idx="21">
                  <c:v>8.1949588192925527E-2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100.89458698895866</c:v>
                </c:pt>
                <c:pt idx="1">
                  <c:v>99.675216059479581</c:v>
                </c:pt>
                <c:pt idx="2">
                  <c:v>107.90997929051117</c:v>
                </c:pt>
                <c:pt idx="3">
                  <c:v>108.29673471066521</c:v>
                </c:pt>
                <c:pt idx="4">
                  <c:v>114.76950676537243</c:v>
                </c:pt>
                <c:pt idx="5">
                  <c:v>117.72995171430985</c:v>
                </c:pt>
                <c:pt idx="6">
                  <c:v>120.89931746925885</c:v>
                </c:pt>
                <c:pt idx="7">
                  <c:v>115.59056958502657</c:v>
                </c:pt>
                <c:pt idx="8">
                  <c:v>113.25598207637394</c:v>
                </c:pt>
                <c:pt idx="9">
                  <c:v>102.7346430156375</c:v>
                </c:pt>
                <c:pt idx="10">
                  <c:v>106.26468310460019</c:v>
                </c:pt>
                <c:pt idx="11">
                  <c:v>124.49229284762997</c:v>
                </c:pt>
                <c:pt idx="12">
                  <c:v>113.56621836616137</c:v>
                </c:pt>
                <c:pt idx="13">
                  <c:v>115.66601498146562</c:v>
                </c:pt>
                <c:pt idx="14">
                  <c:v>118.30206184091573</c:v>
                </c:pt>
                <c:pt idx="15">
                  <c:v>114.10729288341315</c:v>
                </c:pt>
                <c:pt idx="16">
                  <c:v>129.16391567246009</c:v>
                </c:pt>
                <c:pt idx="17">
                  <c:v>125.48836903657812</c:v>
                </c:pt>
                <c:pt idx="18">
                  <c:v>127.23851035141863</c:v>
                </c:pt>
                <c:pt idx="19">
                  <c:v>119.53416202431487</c:v>
                </c:pt>
                <c:pt idx="20">
                  <c:v>119.87264833936263</c:v>
                </c:pt>
                <c:pt idx="21">
                  <c:v>116.01377592746509</c:v>
                </c:pt>
                <c:pt idx="22">
                  <c:v>117.47706354236719</c:v>
                </c:pt>
                <c:pt idx="23">
                  <c:v>133.5639877149807</c:v>
                </c:pt>
                <c:pt idx="24">
                  <c:v>118.6059679653001</c:v>
                </c:pt>
                <c:pt idx="25">
                  <c:v>124.33723938124062</c:v>
                </c:pt>
                <c:pt idx="26">
                  <c:v>126.52959469531471</c:v>
                </c:pt>
                <c:pt idx="27">
                  <c:v>123.03063866882034</c:v>
                </c:pt>
                <c:pt idx="28">
                  <c:v>133.99423057285816</c:v>
                </c:pt>
                <c:pt idx="29">
                  <c:v>129.29934720211332</c:v>
                </c:pt>
                <c:pt idx="30">
                  <c:v>149.11806151825849</c:v>
                </c:pt>
                <c:pt idx="31">
                  <c:v>143.55464408573698</c:v>
                </c:pt>
                <c:pt idx="32">
                  <c:v>132.5937408676709</c:v>
                </c:pt>
                <c:pt idx="33">
                  <c:v>127.00956481623867</c:v>
                </c:pt>
                <c:pt idx="34">
                  <c:v>119.78322264291478</c:v>
                </c:pt>
                <c:pt idx="35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107.81544144598891</c:v>
                </c:pt>
                <c:pt idx="2">
                  <c:v>108.5671440804085</c:v>
                </c:pt>
                <c:pt idx="3">
                  <c:v>109.32408767885906</c:v>
                </c:pt>
                <c:pt idx="4">
                  <c:v>110.08630878199189</c:v>
                </c:pt>
                <c:pt idx="5">
                  <c:v>110.8538441852245</c:v>
                </c:pt>
                <c:pt idx="6">
                  <c:v>111.62673094051665</c:v>
                </c:pt>
                <c:pt idx="7">
                  <c:v>112.40500635815863</c:v>
                </c:pt>
                <c:pt idx="8">
                  <c:v>113.18870800857312</c:v>
                </c:pt>
                <c:pt idx="9">
                  <c:v>113.97787372412803</c:v>
                </c:pt>
                <c:pt idx="10">
                  <c:v>114.77254160096365</c:v>
                </c:pt>
                <c:pt idx="11">
                  <c:v>115.57275000083089</c:v>
                </c:pt>
                <c:pt idx="12">
                  <c:v>116.37853755294383</c:v>
                </c:pt>
                <c:pt idx="13">
                  <c:v>117.18994315584423</c:v>
                </c:pt>
                <c:pt idx="14">
                  <c:v>118.00700597927903</c:v>
                </c:pt>
                <c:pt idx="15">
                  <c:v>118.82976546609187</c:v>
                </c:pt>
                <c:pt idx="16">
                  <c:v>119.65826133412641</c:v>
                </c:pt>
                <c:pt idx="17">
                  <c:v>120.49253357814433</c:v>
                </c:pt>
                <c:pt idx="18">
                  <c:v>121.3326224717558</c:v>
                </c:pt>
                <c:pt idx="19">
                  <c:v>122.17856856936321</c:v>
                </c:pt>
                <c:pt idx="20">
                  <c:v>123.03041270811974</c:v>
                </c:pt>
                <c:pt idx="21">
                  <c:v>123.88819600989986</c:v>
                </c:pt>
                <c:pt idx="22">
                  <c:v>124.75195988328512</c:v>
                </c:pt>
                <c:pt idx="23">
                  <c:v>125.62174602556291</c:v>
                </c:pt>
                <c:pt idx="24">
                  <c:v>126.49759642473887</c:v>
                </c:pt>
                <c:pt idx="25">
                  <c:v>127.37955336156473</c:v>
                </c:pt>
                <c:pt idx="26">
                  <c:v>128.26765941157839</c:v>
                </c:pt>
                <c:pt idx="27">
                  <c:v>129.16195744716006</c:v>
                </c:pt>
                <c:pt idx="28">
                  <c:v>130.06249063960141</c:v>
                </c:pt>
                <c:pt idx="29">
                  <c:v>130.9693024611895</c:v>
                </c:pt>
                <c:pt idx="30">
                  <c:v>131.8824366873059</c:v>
                </c:pt>
                <c:pt idx="31">
                  <c:v>132.80193739853922</c:v>
                </c:pt>
                <c:pt idx="32">
                  <c:v>133.72784898281378</c:v>
                </c:pt>
                <c:pt idx="33">
                  <c:v>134.66021613753162</c:v>
                </c:pt>
                <c:pt idx="34">
                  <c:v>135.59908387173093</c:v>
                </c:pt>
                <c:pt idx="35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156"/>
          <c:min val="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100.89458698895866</c:v>
                </c:pt>
                <c:pt idx="1">
                  <c:v>99.675216059479581</c:v>
                </c:pt>
                <c:pt idx="2">
                  <c:v>107.90997929051117</c:v>
                </c:pt>
                <c:pt idx="3">
                  <c:v>108.29673471066521</c:v>
                </c:pt>
                <c:pt idx="4">
                  <c:v>114.76950676537243</c:v>
                </c:pt>
                <c:pt idx="5">
                  <c:v>117.72995171430985</c:v>
                </c:pt>
                <c:pt idx="6">
                  <c:v>120.89931746925885</c:v>
                </c:pt>
                <c:pt idx="7">
                  <c:v>115.59056958502657</c:v>
                </c:pt>
                <c:pt idx="8">
                  <c:v>113.25598207637394</c:v>
                </c:pt>
                <c:pt idx="9">
                  <c:v>102.7346430156375</c:v>
                </c:pt>
                <c:pt idx="10">
                  <c:v>106.26468310460019</c:v>
                </c:pt>
                <c:pt idx="11">
                  <c:v>124.49229284762997</c:v>
                </c:pt>
                <c:pt idx="12">
                  <c:v>113.56621836616137</c:v>
                </c:pt>
                <c:pt idx="13">
                  <c:v>115.66601498146562</c:v>
                </c:pt>
                <c:pt idx="14">
                  <c:v>118.30206184091573</c:v>
                </c:pt>
                <c:pt idx="15">
                  <c:v>114.10729288341315</c:v>
                </c:pt>
                <c:pt idx="16">
                  <c:v>129.16391567246009</c:v>
                </c:pt>
                <c:pt idx="17">
                  <c:v>125.48836903657812</c:v>
                </c:pt>
                <c:pt idx="18">
                  <c:v>127.23851035141863</c:v>
                </c:pt>
                <c:pt idx="19">
                  <c:v>119.53416202431487</c:v>
                </c:pt>
                <c:pt idx="20">
                  <c:v>119.87264833936263</c:v>
                </c:pt>
                <c:pt idx="21">
                  <c:v>116.01377592746509</c:v>
                </c:pt>
                <c:pt idx="22">
                  <c:v>117.47706354236719</c:v>
                </c:pt>
                <c:pt idx="23">
                  <c:v>133.5639877149807</c:v>
                </c:pt>
                <c:pt idx="24">
                  <c:v>118.6059679653001</c:v>
                </c:pt>
                <c:pt idx="25">
                  <c:v>124.33723938124062</c:v>
                </c:pt>
                <c:pt idx="26">
                  <c:v>126.52959469531471</c:v>
                </c:pt>
                <c:pt idx="27">
                  <c:v>123.03063866882034</c:v>
                </c:pt>
                <c:pt idx="28">
                  <c:v>133.99423057285816</c:v>
                </c:pt>
                <c:pt idx="29">
                  <c:v>129.29934720211332</c:v>
                </c:pt>
                <c:pt idx="30">
                  <c:v>149.11806151825849</c:v>
                </c:pt>
                <c:pt idx="31">
                  <c:v>143.55464408573698</c:v>
                </c:pt>
                <c:pt idx="32">
                  <c:v>132.5937408676709</c:v>
                </c:pt>
                <c:pt idx="33">
                  <c:v>127.00956481623867</c:v>
                </c:pt>
                <c:pt idx="34">
                  <c:v>119.78322264291478</c:v>
                </c:pt>
                <c:pt idx="35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107.81544144598891</c:v>
                </c:pt>
                <c:pt idx="2">
                  <c:v>108.5671440804085</c:v>
                </c:pt>
                <c:pt idx="3">
                  <c:v>109.32408767885906</c:v>
                </c:pt>
                <c:pt idx="4">
                  <c:v>110.08630878199189</c:v>
                </c:pt>
                <c:pt idx="5">
                  <c:v>110.8538441852245</c:v>
                </c:pt>
                <c:pt idx="6">
                  <c:v>111.62673094051665</c:v>
                </c:pt>
                <c:pt idx="7">
                  <c:v>112.40500635815863</c:v>
                </c:pt>
                <c:pt idx="8">
                  <c:v>113.18870800857312</c:v>
                </c:pt>
                <c:pt idx="9">
                  <c:v>113.97787372412803</c:v>
                </c:pt>
                <c:pt idx="10">
                  <c:v>114.77254160096365</c:v>
                </c:pt>
                <c:pt idx="11">
                  <c:v>115.57275000083089</c:v>
                </c:pt>
                <c:pt idx="12">
                  <c:v>116.37853755294383</c:v>
                </c:pt>
                <c:pt idx="13">
                  <c:v>117.18994315584423</c:v>
                </c:pt>
                <c:pt idx="14">
                  <c:v>118.00700597927903</c:v>
                </c:pt>
                <c:pt idx="15">
                  <c:v>118.82976546609187</c:v>
                </c:pt>
                <c:pt idx="16">
                  <c:v>119.65826133412641</c:v>
                </c:pt>
                <c:pt idx="17">
                  <c:v>120.49253357814433</c:v>
                </c:pt>
                <c:pt idx="18">
                  <c:v>121.3326224717558</c:v>
                </c:pt>
                <c:pt idx="19">
                  <c:v>122.17856856936321</c:v>
                </c:pt>
                <c:pt idx="20">
                  <c:v>123.03041270811974</c:v>
                </c:pt>
                <c:pt idx="21">
                  <c:v>123.88819600989986</c:v>
                </c:pt>
                <c:pt idx="22">
                  <c:v>124.75195988328512</c:v>
                </c:pt>
                <c:pt idx="23">
                  <c:v>125.62174602556291</c:v>
                </c:pt>
                <c:pt idx="24">
                  <c:v>126.49759642473887</c:v>
                </c:pt>
                <c:pt idx="25">
                  <c:v>127.37955336156473</c:v>
                </c:pt>
                <c:pt idx="26">
                  <c:v>128.26765941157839</c:v>
                </c:pt>
                <c:pt idx="27">
                  <c:v>129.16195744716006</c:v>
                </c:pt>
                <c:pt idx="28">
                  <c:v>130.06249063960141</c:v>
                </c:pt>
                <c:pt idx="29">
                  <c:v>130.9693024611895</c:v>
                </c:pt>
                <c:pt idx="30">
                  <c:v>131.8824366873059</c:v>
                </c:pt>
                <c:pt idx="31">
                  <c:v>132.80193739853922</c:v>
                </c:pt>
                <c:pt idx="32">
                  <c:v>133.72784898281378</c:v>
                </c:pt>
                <c:pt idx="33">
                  <c:v>134.66021613753162</c:v>
                </c:pt>
                <c:pt idx="34">
                  <c:v>135.59908387173093</c:v>
                </c:pt>
                <c:pt idx="35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114.05519439180196</c:v>
                </c:pt>
                <c:pt idx="11">
                  <c:v>114.89934986556719</c:v>
                </c:pt>
                <c:pt idx="12">
                  <c:v>115.74975317808881</c:v>
                </c:pt>
                <c:pt idx="13">
                  <c:v>116.60645057142806</c:v>
                </c:pt>
                <c:pt idx="14">
                  <c:v>117.46948862989706</c:v>
                </c:pt>
                <c:pt idx="15">
                  <c:v>118.33891428259201</c:v>
                </c:pt>
                <c:pt idx="16">
                  <c:v>119.2147748059446</c:v>
                </c:pt>
                <c:pt idx="17">
                  <c:v>120.09711782629336</c:v>
                </c:pt>
                <c:pt idx="18">
                  <c:v>120.98599132247304</c:v>
                </c:pt>
                <c:pt idx="19">
                  <c:v>121.8814436284236</c:v>
                </c:pt>
                <c:pt idx="20">
                  <c:v>122.78352343581848</c:v>
                </c:pt>
                <c:pt idx="21">
                  <c:v>123.69227979671237</c:v>
                </c:pt>
                <c:pt idx="22">
                  <c:v>124.6077621262081</c:v>
                </c:pt>
                <c:pt idx="23">
                  <c:v>125.53002020514427</c:v>
                </c:pt>
                <c:pt idx="24">
                  <c:v>126.45910418280175</c:v>
                </c:pt>
                <c:pt idx="25">
                  <c:v>127.39506457963076</c:v>
                </c:pt>
                <c:pt idx="26">
                  <c:v>128.33795228999793</c:v>
                </c:pt>
                <c:pt idx="27">
                  <c:v>129.28781858495401</c:v>
                </c:pt>
                <c:pt idx="28">
                  <c:v>130.24471511502122</c:v>
                </c:pt>
                <c:pt idx="29">
                  <c:v>131.20869391300258</c:v>
                </c:pt>
                <c:pt idx="30">
                  <c:v>132.17980739681079</c:v>
                </c:pt>
                <c:pt idx="31">
                  <c:v>133.15810837231876</c:v>
                </c:pt>
                <c:pt idx="32">
                  <c:v>134.14365003623089</c:v>
                </c:pt>
                <c:pt idx="33">
                  <c:v>135.13648597897586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119.66679605529622</c:v>
                </c:pt>
                <c:pt idx="17">
                  <c:v>120.50584414736228</c:v>
                </c:pt>
                <c:pt idx="18">
                  <c:v>121.35077525563662</c:v>
                </c:pt>
                <c:pt idx="19">
                  <c:v>122.20163062910154</c:v>
                </c:pt>
                <c:pt idx="20">
                  <c:v>123.05845180595763</c:v>
                </c:pt>
                <c:pt idx="21">
                  <c:v>123.92128061565252</c:v>
                </c:pt>
                <c:pt idx="22">
                  <c:v>124.79015918092209</c:v>
                </c:pt>
                <c:pt idx="23">
                  <c:v>125.66512991984779</c:v>
                </c:pt>
                <c:pt idx="24">
                  <c:v>126.5462355479265</c:v>
                </c:pt>
                <c:pt idx="25">
                  <c:v>127.43351908015683</c:v>
                </c:pt>
                <c:pt idx="26">
                  <c:v>128.32702383313818</c:v>
                </c:pt>
                <c:pt idx="27">
                  <c:v>129.22679342718627</c:v>
                </c:pt>
                <c:pt idx="28">
                  <c:v>130.13287178846184</c:v>
                </c:pt>
                <c:pt idx="29">
                  <c:v>131.04530315111597</c:v>
                </c:pt>
                <c:pt idx="30">
                  <c:v>131.96413205944859</c:v>
                </c:pt>
                <c:pt idx="31">
                  <c:v>132.88940337008407</c:v>
                </c:pt>
                <c:pt idx="32">
                  <c:v>133.82116225416021</c:v>
                </c:pt>
                <c:pt idx="33">
                  <c:v>134.75945419953439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156"/>
          <c:min val="9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0.92816838756890552</c:v>
                </c:pt>
                <c:pt idx="1">
                  <c:v>0.96930035995118846</c:v>
                </c:pt>
                <c:pt idx="2">
                  <c:v>1.0487485990745231</c:v>
                </c:pt>
                <c:pt idx="3">
                  <c:v>1.1683527675516023</c:v>
                </c:pt>
                <c:pt idx="4">
                  <c:v>1.4256621430963481</c:v>
                </c:pt>
                <c:pt idx="5">
                  <c:v>1.9371670965332439</c:v>
                </c:pt>
                <c:pt idx="6">
                  <c:v>2.0231572208721764</c:v>
                </c:pt>
                <c:pt idx="7">
                  <c:v>2.5197731388069893</c:v>
                </c:pt>
                <c:pt idx="8">
                  <c:v>3.0547832121105376</c:v>
                </c:pt>
                <c:pt idx="9">
                  <c:v>3.5252539548243815</c:v>
                </c:pt>
                <c:pt idx="10">
                  <c:v>4.5461298886956509</c:v>
                </c:pt>
                <c:pt idx="11">
                  <c:v>5.2147750768371877</c:v>
                </c:pt>
                <c:pt idx="12">
                  <c:v>6.9776256376585737</c:v>
                </c:pt>
                <c:pt idx="13">
                  <c:v>7.7266099497221941</c:v>
                </c:pt>
                <c:pt idx="14">
                  <c:v>10.04754815228095</c:v>
                </c:pt>
                <c:pt idx="15">
                  <c:v>20.022785176072823</c:v>
                </c:pt>
                <c:pt idx="16">
                  <c:v>63.312545155483875</c:v>
                </c:pt>
                <c:pt idx="17">
                  <c:v>121.90486185425077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127.23851035141863</c:v>
                </c:pt>
                <c:pt idx="1">
                  <c:v>119.53416202431487</c:v>
                </c:pt>
                <c:pt idx="2">
                  <c:v>119.87264833936263</c:v>
                </c:pt>
                <c:pt idx="3">
                  <c:v>116.01377592746509</c:v>
                </c:pt>
                <c:pt idx="4">
                  <c:v>117.47706354236719</c:v>
                </c:pt>
                <c:pt idx="5">
                  <c:v>133.5639877149807</c:v>
                </c:pt>
                <c:pt idx="6">
                  <c:v>118.6059679653001</c:v>
                </c:pt>
                <c:pt idx="7">
                  <c:v>124.33723938124062</c:v>
                </c:pt>
                <c:pt idx="8">
                  <c:v>126.52959469531471</c:v>
                </c:pt>
                <c:pt idx="9">
                  <c:v>123.03063866882034</c:v>
                </c:pt>
                <c:pt idx="10">
                  <c:v>133.99423057285816</c:v>
                </c:pt>
                <c:pt idx="11">
                  <c:v>129.29934720211332</c:v>
                </c:pt>
                <c:pt idx="12">
                  <c:v>149.11806151825849</c:v>
                </c:pt>
                <c:pt idx="13">
                  <c:v>143.55464408573698</c:v>
                </c:pt>
                <c:pt idx="14">
                  <c:v>132.5937408676709</c:v>
                </c:pt>
                <c:pt idx="15">
                  <c:v>127.00956481623867</c:v>
                </c:pt>
                <c:pt idx="16">
                  <c:v>119.78322264291478</c:v>
                </c:pt>
                <c:pt idx="17">
                  <c:v>139.77999937419818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121.3326224717558</c:v>
                </c:pt>
                <c:pt idx="1">
                  <c:v>122.17856856936321</c:v>
                </c:pt>
                <c:pt idx="2">
                  <c:v>123.03041270811974</c:v>
                </c:pt>
                <c:pt idx="3">
                  <c:v>123.88819600989986</c:v>
                </c:pt>
                <c:pt idx="4">
                  <c:v>124.75195988328512</c:v>
                </c:pt>
                <c:pt idx="5">
                  <c:v>125.62174602556291</c:v>
                </c:pt>
                <c:pt idx="6">
                  <c:v>126.49759642473887</c:v>
                </c:pt>
                <c:pt idx="7">
                  <c:v>127.37955336156473</c:v>
                </c:pt>
                <c:pt idx="8">
                  <c:v>128.26765941157839</c:v>
                </c:pt>
                <c:pt idx="9">
                  <c:v>129.16195744716006</c:v>
                </c:pt>
                <c:pt idx="10">
                  <c:v>130.06249063960141</c:v>
                </c:pt>
                <c:pt idx="11">
                  <c:v>130.9693024611895</c:v>
                </c:pt>
                <c:pt idx="12">
                  <c:v>131.8824366873059</c:v>
                </c:pt>
                <c:pt idx="13">
                  <c:v>132.80193739853922</c:v>
                </c:pt>
                <c:pt idx="14">
                  <c:v>133.72784898281378</c:v>
                </c:pt>
                <c:pt idx="15">
                  <c:v>134.66021613753162</c:v>
                </c:pt>
                <c:pt idx="16">
                  <c:v>135.59908387173093</c:v>
                </c:pt>
                <c:pt idx="17">
                  <c:v>136.54449750825844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120.98599132247304</c:v>
                </c:pt>
                <c:pt idx="1">
                  <c:v>121.8814436284236</c:v>
                </c:pt>
                <c:pt idx="2">
                  <c:v>122.78352343581848</c:v>
                </c:pt>
                <c:pt idx="3">
                  <c:v>123.69227979671237</c:v>
                </c:pt>
                <c:pt idx="4">
                  <c:v>124.6077621262081</c:v>
                </c:pt>
                <c:pt idx="5">
                  <c:v>125.53002020514427</c:v>
                </c:pt>
                <c:pt idx="6">
                  <c:v>126.45910418280175</c:v>
                </c:pt>
                <c:pt idx="7">
                  <c:v>127.39506457963076</c:v>
                </c:pt>
                <c:pt idx="8">
                  <c:v>128.33795228999793</c:v>
                </c:pt>
                <c:pt idx="9">
                  <c:v>129.28781858495401</c:v>
                </c:pt>
                <c:pt idx="10">
                  <c:v>130.24471511502122</c:v>
                </c:pt>
                <c:pt idx="11">
                  <c:v>131.20869391300258</c:v>
                </c:pt>
                <c:pt idx="12">
                  <c:v>132.17980739681079</c:v>
                </c:pt>
                <c:pt idx="13">
                  <c:v>133.15810837231876</c:v>
                </c:pt>
                <c:pt idx="14">
                  <c:v>134.14365003623089</c:v>
                </c:pt>
                <c:pt idx="15">
                  <c:v>135.13648597897586</c:v>
                </c:pt>
                <c:pt idx="16">
                  <c:v>136.1366701876203</c:v>
                </c:pt>
                <c:pt idx="17">
                  <c:v>137.14425704880503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15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0.86723044385625625</c:v>
                </c:pt>
                <c:pt idx="3">
                  <c:v>0.92704466688224663</c:v>
                </c:pt>
                <c:pt idx="4">
                  <c:v>0.9465889990995926</c:v>
                </c:pt>
                <c:pt idx="5">
                  <c:v>0.9537112389836917</c:v>
                </c:pt>
                <c:pt idx="6">
                  <c:v>0.96110288740340877</c:v>
                </c:pt>
                <c:pt idx="7">
                  <c:v>0.96722497018109532</c:v>
                </c:pt>
                <c:pt idx="8">
                  <c:v>0.9722013057641864</c:v>
                </c:pt>
                <c:pt idx="9">
                  <c:v>0.97611358624165678</c:v>
                </c:pt>
                <c:pt idx="10">
                  <c:v>0.9799161262525885</c:v>
                </c:pt>
                <c:pt idx="11">
                  <c:v>0.98292117696525372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0.82155703006404168</c:v>
                </c:pt>
                <c:pt idx="3">
                  <c:v>0.8954392849361742</c:v>
                </c:pt>
                <c:pt idx="4">
                  <c:v>0.92566551582853052</c:v>
                </c:pt>
                <c:pt idx="5">
                  <c:v>0.93992390439053208</c:v>
                </c:pt>
                <c:pt idx="6">
                  <c:v>0.94878242864628126</c:v>
                </c:pt>
                <c:pt idx="7">
                  <c:v>0.95677546360043197</c:v>
                </c:pt>
                <c:pt idx="8">
                  <c:v>0.96296588117227178</c:v>
                </c:pt>
                <c:pt idx="9">
                  <c:v>0.96781139785063397</c:v>
                </c:pt>
                <c:pt idx="10">
                  <c:v>0.9713970326111252</c:v>
                </c:pt>
                <c:pt idx="11">
                  <c:v>0.97477468765721198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0.87028286804875155</c:v>
                </c:pt>
                <c:pt idx="3">
                  <c:v>0.93041684822830339</c:v>
                </c:pt>
                <c:pt idx="4">
                  <c:v>0.95024245116176265</c:v>
                </c:pt>
                <c:pt idx="5">
                  <c:v>0.95725967042590221</c:v>
                </c:pt>
                <c:pt idx="6">
                  <c:v>0.96420977627190563</c:v>
                </c:pt>
                <c:pt idx="7">
                  <c:v>0.97041354804821212</c:v>
                </c:pt>
                <c:pt idx="8">
                  <c:v>0.9751594094397521</c:v>
                </c:pt>
                <c:pt idx="9">
                  <c:v>0.97903304048193573</c:v>
                </c:pt>
                <c:pt idx="10">
                  <c:v>0.98288802332264402</c:v>
                </c:pt>
                <c:pt idx="11">
                  <c:v>0.9859409689318529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2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4422726.4100000095</c:v>
                </c:pt>
                <c:pt idx="1">
                  <c:v>4477110.5900000036</c:v>
                </c:pt>
                <c:pt idx="2">
                  <c:v>4397652.3700000178</c:v>
                </c:pt>
                <c:pt idx="3">
                  <c:v>4466615.6500000032</c:v>
                </c:pt>
                <c:pt idx="4">
                  <c:v>4009339.3599999989</c:v>
                </c:pt>
                <c:pt idx="5">
                  <c:v>5077483.7799999835</c:v>
                </c:pt>
                <c:pt idx="6">
                  <c:v>4154075.8699999978</c:v>
                </c:pt>
                <c:pt idx="7">
                  <c:v>4653392.6099999966</c:v>
                </c:pt>
                <c:pt idx="8">
                  <c:v>4803201.339999998</c:v>
                </c:pt>
                <c:pt idx="9">
                  <c:v>4525300.0899999943</c:v>
                </c:pt>
                <c:pt idx="10">
                  <c:v>4711315.7599999821</c:v>
                </c:pt>
                <c:pt idx="11">
                  <c:v>5026007.420000013</c:v>
                </c:pt>
                <c:pt idx="12">
                  <c:v>5645364.459999986</c:v>
                </c:pt>
                <c:pt idx="13">
                  <c:v>5226868.5000000019</c:v>
                </c:pt>
                <c:pt idx="14">
                  <c:v>5333947.7200000016</c:v>
                </c:pt>
                <c:pt idx="15">
                  <c:v>5395969.1799999913</c:v>
                </c:pt>
                <c:pt idx="16">
                  <c:v>3323663.6499999929</c:v>
                </c:pt>
                <c:pt idx="17">
                  <c:v>3877540.2099999972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4688230.1524083707</c:v>
                </c:pt>
                <c:pt idx="1">
                  <c:v>4411169.1811832916</c:v>
                </c:pt>
                <c:pt idx="2">
                  <c:v>4430972.5732161999</c:v>
                </c:pt>
                <c:pt idx="3">
                  <c:v>4355041.134541112</c:v>
                </c:pt>
                <c:pt idx="4">
                  <c:v>4416080.295621125</c:v>
                </c:pt>
                <c:pt idx="5">
                  <c:v>5057934.6507786037</c:v>
                </c:pt>
                <c:pt idx="6">
                  <c:v>4539169</c:v>
                </c:pt>
                <c:pt idx="7">
                  <c:v>4806629</c:v>
                </c:pt>
                <c:pt idx="8">
                  <c:v>4923140</c:v>
                </c:pt>
                <c:pt idx="9">
                  <c:v>4798564</c:v>
                </c:pt>
                <c:pt idx="10">
                  <c:v>5248822</c:v>
                </c:pt>
                <c:pt idx="11">
                  <c:v>5090386</c:v>
                </c:pt>
                <c:pt idx="12">
                  <c:v>5904777</c:v>
                </c:pt>
                <c:pt idx="13">
                  <c:v>5424930</c:v>
                </c:pt>
                <c:pt idx="14">
                  <c:v>4990961</c:v>
                </c:pt>
                <c:pt idx="15">
                  <c:v>4129716</c:v>
                </c:pt>
                <c:pt idx="16">
                  <c:v>3859655</c:v>
                </c:pt>
                <c:pt idx="17">
                  <c:v>4467229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1.9703032546388026</c:v>
                </c:pt>
                <c:pt idx="1">
                  <c:v>1.3541882868700801</c:v>
                </c:pt>
                <c:pt idx="2">
                  <c:v>1.3091605828770831</c:v>
                </c:pt>
                <c:pt idx="3">
                  <c:v>1.6158398339019835</c:v>
                </c:pt>
                <c:pt idx="4">
                  <c:v>2.0576352708641736</c:v>
                </c:pt>
                <c:pt idx="5">
                  <c:v>1.4387885331659314</c:v>
                </c:pt>
                <c:pt idx="6">
                  <c:v>1.7952011743107614</c:v>
                </c:pt>
                <c:pt idx="7">
                  <c:v>1.5149523779382967</c:v>
                </c:pt>
                <c:pt idx="8">
                  <c:v>1.3379411698781707</c:v>
                </c:pt>
                <c:pt idx="9">
                  <c:v>1.6165545564957222</c:v>
                </c:pt>
                <c:pt idx="10">
                  <c:v>1.6396761994997362</c:v>
                </c:pt>
                <c:pt idx="11">
                  <c:v>1.7104329921582144</c:v>
                </c:pt>
                <c:pt idx="12">
                  <c:v>1.3306447428196719</c:v>
                </c:pt>
                <c:pt idx="13">
                  <c:v>1.6605872177576302</c:v>
                </c:pt>
                <c:pt idx="14">
                  <c:v>1.7008069137955482</c:v>
                </c:pt>
                <c:pt idx="15">
                  <c:v>1.8393085614325182</c:v>
                </c:pt>
                <c:pt idx="16">
                  <c:v>2.0979528479062588</c:v>
                </c:pt>
                <c:pt idx="17">
                  <c:v>1.9243978929621472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33510</c:v>
                </c:pt>
                <c:pt idx="1">
                  <c:v>33625</c:v>
                </c:pt>
                <c:pt idx="2">
                  <c:v>33715</c:v>
                </c:pt>
                <c:pt idx="3">
                  <c:v>33923</c:v>
                </c:pt>
                <c:pt idx="4">
                  <c:v>34003</c:v>
                </c:pt>
                <c:pt idx="5">
                  <c:v>34128</c:v>
                </c:pt>
                <c:pt idx="6">
                  <c:v>34275</c:v>
                </c:pt>
                <c:pt idx="7">
                  <c:v>34312</c:v>
                </c:pt>
                <c:pt idx="8">
                  <c:v>34368</c:v>
                </c:pt>
                <c:pt idx="9">
                  <c:v>34854</c:v>
                </c:pt>
                <c:pt idx="10">
                  <c:v>34805</c:v>
                </c:pt>
                <c:pt idx="11">
                  <c:v>34838</c:v>
                </c:pt>
                <c:pt idx="12">
                  <c:v>34912</c:v>
                </c:pt>
                <c:pt idx="13">
                  <c:v>35020</c:v>
                </c:pt>
                <c:pt idx="14">
                  <c:v>35204</c:v>
                </c:pt>
                <c:pt idx="15">
                  <c:v>35445</c:v>
                </c:pt>
                <c:pt idx="16">
                  <c:v>35634</c:v>
                </c:pt>
                <c:pt idx="17">
                  <c:v>35855</c:v>
                </c:pt>
                <c:pt idx="18">
                  <c:v>36846</c:v>
                </c:pt>
                <c:pt idx="19">
                  <c:v>36903</c:v>
                </c:pt>
                <c:pt idx="20">
                  <c:v>36964</c:v>
                </c:pt>
                <c:pt idx="21">
                  <c:v>37539</c:v>
                </c:pt>
                <c:pt idx="22">
                  <c:v>37591</c:v>
                </c:pt>
                <c:pt idx="23">
                  <c:v>37869</c:v>
                </c:pt>
                <c:pt idx="24">
                  <c:v>38271</c:v>
                </c:pt>
                <c:pt idx="25">
                  <c:v>38658</c:v>
                </c:pt>
                <c:pt idx="26">
                  <c:v>38909</c:v>
                </c:pt>
                <c:pt idx="27">
                  <c:v>39003</c:v>
                </c:pt>
                <c:pt idx="28">
                  <c:v>39172</c:v>
                </c:pt>
                <c:pt idx="29">
                  <c:v>39369</c:v>
                </c:pt>
                <c:pt idx="30">
                  <c:v>39598</c:v>
                </c:pt>
                <c:pt idx="31">
                  <c:v>37790</c:v>
                </c:pt>
                <c:pt idx="32">
                  <c:v>37641</c:v>
                </c:pt>
                <c:pt idx="33">
                  <c:v>32515</c:v>
                </c:pt>
                <c:pt idx="34">
                  <c:v>32222</c:v>
                </c:pt>
                <c:pt idx="35">
                  <c:v>31959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0.12660315225028684</c:v>
                </c:pt>
                <c:pt idx="1">
                  <c:v>0.10191605337778187</c:v>
                </c:pt>
                <c:pt idx="2">
                  <c:v>9.244485769816535E-2</c:v>
                </c:pt>
                <c:pt idx="3">
                  <c:v>8.2053100829343029E-2</c:v>
                </c:pt>
                <c:pt idx="4">
                  <c:v>8.0622857379767154E-2</c:v>
                </c:pt>
                <c:pt idx="5">
                  <c:v>5.0932219681524726E-2</c:v>
                </c:pt>
                <c:pt idx="6">
                  <c:v>4.8319231407772278E-2</c:v>
                </c:pt>
                <c:pt idx="7">
                  <c:v>7.1896090601049512E-2</c:v>
                </c:pt>
                <c:pt idx="8">
                  <c:v>9.6532714345868298E-2</c:v>
                </c:pt>
                <c:pt idx="9">
                  <c:v>0.10064183418108374</c:v>
                </c:pt>
                <c:pt idx="10">
                  <c:v>7.3546671621661952E-2</c:v>
                </c:pt>
                <c:pt idx="11">
                  <c:v>6.440794228016955E-2</c:v>
                </c:pt>
                <c:pt idx="12">
                  <c:v>6.3126163826251247E-2</c:v>
                </c:pt>
                <c:pt idx="13">
                  <c:v>7.4185378475376984E-2</c:v>
                </c:pt>
                <c:pt idx="14">
                  <c:v>6.0793192804551532E-2</c:v>
                </c:pt>
                <c:pt idx="15">
                  <c:v>4.7631681774927825E-2</c:v>
                </c:pt>
                <c:pt idx="16">
                  <c:v>7.9920345364546952E-2</c:v>
                </c:pt>
                <c:pt idx="17">
                  <c:v>0.13353804417781623</c:v>
                </c:pt>
                <c:pt idx="18">
                  <c:v>0.1598851054262389</c:v>
                </c:pt>
                <c:pt idx="19">
                  <c:v>0.13431231988177506</c:v>
                </c:pt>
                <c:pt idx="20">
                  <c:v>7.3643829697767504E-2</c:v>
                </c:pt>
                <c:pt idx="21">
                  <c:v>5.3174507465914012E-2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0.10321943176330128</c:v>
                </c:pt>
                <c:pt idx="4">
                  <c:v>9.0672655302548089E-2</c:v>
                </c:pt>
                <c:pt idx="5">
                  <c:v>7.0984430802118359E-2</c:v>
                </c:pt>
                <c:pt idx="6">
                  <c:v>6.4967564518445986E-2</c:v>
                </c:pt>
                <c:pt idx="7">
                  <c:v>7.6398453925297316E-2</c:v>
                </c:pt>
                <c:pt idx="8">
                  <c:v>7.2655118930522455E-2</c:v>
                </c:pt>
                <c:pt idx="9">
                  <c:v>7.3858154273444887E-2</c:v>
                </c:pt>
                <c:pt idx="10">
                  <c:v>7.2736939305025894E-2</c:v>
                </c:pt>
                <c:pt idx="11">
                  <c:v>7.9722568243961955E-2</c:v>
                </c:pt>
                <c:pt idx="12">
                  <c:v>8.1497214594261402E-2</c:v>
                </c:pt>
                <c:pt idx="13">
                  <c:v>7.3867755655904199E-2</c:v>
                </c:pt>
                <c:pt idx="14">
                  <c:v>6.2580735771507801E-2</c:v>
                </c:pt>
                <c:pt idx="15">
                  <c:v>5.5149355879986928E-2</c:v>
                </c:pt>
                <c:pt idx="16">
                  <c:v>7.7185697080078164E-2</c:v>
                </c:pt>
                <c:pt idx="17">
                  <c:v>9.7695356813257472E-2</c:v>
                </c:pt>
                <c:pt idx="18">
                  <c:v>0.10359703176201807</c:v>
                </c:pt>
                <c:pt idx="19">
                  <c:v>0.10613996974767748</c:v>
                </c:pt>
                <c:pt idx="20">
                  <c:v>0.10437085415604486</c:v>
                </c:pt>
                <c:pt idx="21">
                  <c:v>0.1065000267871945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8.8164630421994961E-2</c:v>
                </c:pt>
                <c:pt idx="10">
                  <c:v>8.1660639627147313E-2</c:v>
                </c:pt>
                <c:pt idx="11">
                  <c:v>7.5323917511502581E-2</c:v>
                </c:pt>
                <c:pt idx="12">
                  <c:v>7.3175046937566934E-2</c:v>
                </c:pt>
                <c:pt idx="13">
                  <c:v>7.5126289590203177E-2</c:v>
                </c:pt>
                <c:pt idx="14">
                  <c:v>6.7477417992287014E-2</c:v>
                </c:pt>
                <c:pt idx="15">
                  <c:v>6.428280781753748E-2</c:v>
                </c:pt>
                <c:pt idx="16">
                  <c:v>7.504685513784537E-2</c:v>
                </c:pt>
                <c:pt idx="17">
                  <c:v>8.9077736772082972E-2</c:v>
                </c:pt>
                <c:pt idx="18">
                  <c:v>9.2971346372429764E-2</c:v>
                </c:pt>
                <c:pt idx="19">
                  <c:v>9.0510761342645685E-2</c:v>
                </c:pt>
                <c:pt idx="20">
                  <c:v>8.3625544666233953E-2</c:v>
                </c:pt>
                <c:pt idx="21">
                  <c:v>8.1132907744349447E-2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8.1949588192925527E-2</c:v>
                </c:pt>
                <c:pt idx="1">
                  <c:v>8.1949588192925527E-2</c:v>
                </c:pt>
                <c:pt idx="2">
                  <c:v>8.1949588192925527E-2</c:v>
                </c:pt>
                <c:pt idx="3">
                  <c:v>8.1949588192925527E-2</c:v>
                </c:pt>
                <c:pt idx="4">
                  <c:v>8.1949588192925527E-2</c:v>
                </c:pt>
                <c:pt idx="5">
                  <c:v>8.1949588192925527E-2</c:v>
                </c:pt>
                <c:pt idx="6">
                  <c:v>8.1949588192925527E-2</c:v>
                </c:pt>
                <c:pt idx="7">
                  <c:v>8.1949588192925527E-2</c:v>
                </c:pt>
                <c:pt idx="8">
                  <c:v>8.1949588192925527E-2</c:v>
                </c:pt>
                <c:pt idx="9">
                  <c:v>8.1949588192925527E-2</c:v>
                </c:pt>
                <c:pt idx="10">
                  <c:v>8.1949588192925527E-2</c:v>
                </c:pt>
                <c:pt idx="11">
                  <c:v>8.1949588192925527E-2</c:v>
                </c:pt>
                <c:pt idx="12">
                  <c:v>8.1949588192925527E-2</c:v>
                </c:pt>
                <c:pt idx="13">
                  <c:v>8.1949588192925527E-2</c:v>
                </c:pt>
                <c:pt idx="14">
                  <c:v>8.1949588192925527E-2</c:v>
                </c:pt>
                <c:pt idx="15">
                  <c:v>8.1949588192925527E-2</c:v>
                </c:pt>
                <c:pt idx="16">
                  <c:v>8.1949588192925527E-2</c:v>
                </c:pt>
                <c:pt idx="17">
                  <c:v>8.1949588192925527E-2</c:v>
                </c:pt>
                <c:pt idx="18">
                  <c:v>8.1949588192925527E-2</c:v>
                </c:pt>
                <c:pt idx="19">
                  <c:v>8.1949588192925527E-2</c:v>
                </c:pt>
                <c:pt idx="20">
                  <c:v>8.1949588192925527E-2</c:v>
                </c:pt>
                <c:pt idx="21">
                  <c:v>8.1949588192925527E-2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0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0.85924411067638606</c:v>
                </c:pt>
                <c:pt idx="3">
                  <c:v>0.92002832729817041</c:v>
                </c:pt>
                <c:pt idx="4">
                  <c:v>0.94374169839118216</c:v>
                </c:pt>
                <c:pt idx="5">
                  <c:v>0.95052475165636952</c:v>
                </c:pt>
                <c:pt idx="6">
                  <c:v>0.95697048412543828</c:v>
                </c:pt>
                <c:pt idx="7">
                  <c:v>0.96338965037125657</c:v>
                </c:pt>
                <c:pt idx="8">
                  <c:v>0.96925958162072556</c:v>
                </c:pt>
                <c:pt idx="9">
                  <c:v>0.97492486163866798</c:v>
                </c:pt>
                <c:pt idx="10">
                  <c:v>0.97887537519770107</c:v>
                </c:pt>
                <c:pt idx="11">
                  <c:v>0.98158407497498024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0.86072810770417496</c:v>
                </c:pt>
                <c:pt idx="3">
                  <c:v>0.92776358606949072</c:v>
                </c:pt>
                <c:pt idx="4">
                  <c:v>0.9479331760712485</c:v>
                </c:pt>
                <c:pt idx="5">
                  <c:v>0.9552080297145813</c:v>
                </c:pt>
                <c:pt idx="6">
                  <c:v>0.96168083525665993</c:v>
                </c:pt>
                <c:pt idx="7">
                  <c:v>0.96806322308375004</c:v>
                </c:pt>
                <c:pt idx="8">
                  <c:v>0.97273600241996372</c:v>
                </c:pt>
                <c:pt idx="9">
                  <c:v>0.97623287130684111</c:v>
                </c:pt>
                <c:pt idx="10">
                  <c:v>0.98003433187625788</c:v>
                </c:pt>
                <c:pt idx="11">
                  <c:v>0.98374062556371555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0.86851312667168734</c:v>
                </c:pt>
                <c:pt idx="3">
                  <c:v>0.92389354130359314</c:v>
                </c:pt>
                <c:pt idx="4">
                  <c:v>0.94163576498814627</c:v>
                </c:pt>
                <c:pt idx="5">
                  <c:v>0.94909901572813782</c:v>
                </c:pt>
                <c:pt idx="6">
                  <c:v>0.95825311885507669</c:v>
                </c:pt>
                <c:pt idx="7">
                  <c:v>0.96483899685096775</c:v>
                </c:pt>
                <c:pt idx="8">
                  <c:v>0.96976074450150052</c:v>
                </c:pt>
                <c:pt idx="9">
                  <c:v>0.97392525291311138</c:v>
                </c:pt>
                <c:pt idx="10">
                  <c:v>0.97853886951304792</c:v>
                </c:pt>
                <c:pt idx="11">
                  <c:v>0.98212326318562182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0.8798163989273583</c:v>
                </c:pt>
                <c:pt idx="3">
                  <c:v>0.93579620859790758</c:v>
                </c:pt>
                <c:pt idx="4">
                  <c:v>0.95231131807260783</c:v>
                </c:pt>
                <c:pt idx="5">
                  <c:v>0.95968684412196525</c:v>
                </c:pt>
                <c:pt idx="6">
                  <c:v>0.9671766643976597</c:v>
                </c:pt>
                <c:pt idx="7">
                  <c:v>0.972267652981887</c:v>
                </c:pt>
                <c:pt idx="8">
                  <c:v>0.97670133147757121</c:v>
                </c:pt>
                <c:pt idx="9">
                  <c:v>0.97942887435711479</c:v>
                </c:pt>
                <c:pt idx="10">
                  <c:v>0.98227001691190807</c:v>
                </c:pt>
                <c:pt idx="11">
                  <c:v>0.98432278367427628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0.86030263182158717</c:v>
                </c:pt>
                <c:pt idx="3">
                  <c:v>0.92422314317391896</c:v>
                </c:pt>
                <c:pt idx="4">
                  <c:v>0.9461765251161306</c:v>
                </c:pt>
                <c:pt idx="5">
                  <c:v>0.95320743226422966</c:v>
                </c:pt>
                <c:pt idx="6">
                  <c:v>0.95966901885398148</c:v>
                </c:pt>
                <c:pt idx="7">
                  <c:v>0.96607216938916862</c:v>
                </c:pt>
                <c:pt idx="8">
                  <c:v>0.9713465065989646</c:v>
                </c:pt>
                <c:pt idx="9">
                  <c:v>0.97585716712579107</c:v>
                </c:pt>
                <c:pt idx="10">
                  <c:v>0.97973430552468965</c:v>
                </c:pt>
                <c:pt idx="11">
                  <c:v>0.98294217199668188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9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14" dropStyle="combo" dx="18" fmlaLink="$AI$19" fmlaRange="$AH$5:$AH$18" noThreeD="1" sel="2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zoomScale="120" zoomScaleNormal="12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4" sqref="G4"/>
    </sheetView>
  </sheetViews>
  <sheetFormatPr defaultRowHeight="11.25" x14ac:dyDescent="0.2"/>
  <cols>
    <col min="1" max="1" width="11.5" customWidth="1"/>
    <col min="3" max="36" width="10.83203125" customWidth="1"/>
    <col min="37" max="37" width="11.5" customWidth="1"/>
    <col min="38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7" width="10.83203125" bestFit="1" customWidth="1"/>
    <col min="68" max="68" width="1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12" customWidth="1"/>
    <col min="79" max="79" width="10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Allied Pacific (APC Medicare)</v>
      </c>
      <c r="Z1" s="161" t="s">
        <v>466</v>
      </c>
      <c r="AA1" s="34" t="str">
        <f>$C1</f>
        <v>Allied Pacific (APC Medicare)</v>
      </c>
      <c r="AL1" s="208" t="s">
        <v>758</v>
      </c>
      <c r="AN1" s="34"/>
      <c r="AS1" s="208" t="s">
        <v>759</v>
      </c>
      <c r="AV1" s="34" t="str">
        <f>+$C$1</f>
        <v>Allied Pacific (APC Medicare)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N2" s="34" t="str">
        <f>+$C$1</f>
        <v>Allied Pacific (APC Medicare)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N3" t="s">
        <v>77</v>
      </c>
      <c r="BL3" s="203" t="str">
        <f>Final!$AI$20</f>
        <v>6 Month Method</v>
      </c>
      <c r="BM3" s="7"/>
      <c r="BN3" s="7"/>
      <c r="BO3" s="7"/>
      <c r="BP3" s="7"/>
      <c r="BQ3" s="204"/>
      <c r="CC3" t="s">
        <v>748</v>
      </c>
      <c r="CE3" s="2">
        <f>Final!$AI$19</f>
        <v>2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L4" s="4"/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1004526.7600000019</v>
      </c>
      <c r="D8" s="612">
        <v>482211.5600000007</v>
      </c>
      <c r="E8" s="612">
        <v>241497.67</v>
      </c>
      <c r="F8" s="612">
        <v>298703.77000000031</v>
      </c>
      <c r="G8" s="612">
        <v>698076.46000000043</v>
      </c>
      <c r="H8" s="612">
        <v>1026866.4800000011</v>
      </c>
      <c r="I8" s="612">
        <v>761446.51000000152</v>
      </c>
      <c r="J8" s="612">
        <v>633432.7000000017</v>
      </c>
      <c r="K8" s="612">
        <v>584954.71000000113</v>
      </c>
      <c r="L8" s="612">
        <v>158790.01000000007</v>
      </c>
      <c r="M8" s="612">
        <v>659023.53000000049</v>
      </c>
      <c r="N8" s="612">
        <v>531228.49999999884</v>
      </c>
      <c r="O8" s="612">
        <v>626580.95000000135</v>
      </c>
      <c r="P8" s="612">
        <v>798211.74000000185</v>
      </c>
      <c r="Q8" s="612">
        <v>800445.93000000168</v>
      </c>
      <c r="R8" s="612">
        <v>672374.03000000061</v>
      </c>
      <c r="S8" s="612">
        <v>1373123.0700000084</v>
      </c>
      <c r="T8" s="612">
        <v>1141760.6800000041</v>
      </c>
      <c r="U8" s="612">
        <v>1219165.3500000034</v>
      </c>
      <c r="V8" s="612">
        <v>1162636.3100000024</v>
      </c>
      <c r="W8" s="612">
        <v>1142800.2500000079</v>
      </c>
      <c r="X8" s="612">
        <v>997159.99999999884</v>
      </c>
      <c r="Y8" s="612">
        <v>920338.80000000563</v>
      </c>
      <c r="Z8" s="612">
        <v>1300877.1699999955</v>
      </c>
      <c r="AA8" s="612">
        <v>644189.63000000187</v>
      </c>
      <c r="AB8" s="612">
        <v>788344.64000000048</v>
      </c>
      <c r="AC8" s="612">
        <v>975607.42000000051</v>
      </c>
      <c r="AD8" s="612">
        <v>801693.41999999993</v>
      </c>
      <c r="AE8" s="612">
        <v>854406.51000000024</v>
      </c>
      <c r="AF8" s="612">
        <v>671365.21000000031</v>
      </c>
      <c r="AG8" s="612">
        <v>1311137.7499999909</v>
      </c>
      <c r="AH8" s="612">
        <v>915291.40999999852</v>
      </c>
      <c r="AI8" s="612">
        <v>1015613.4899999979</v>
      </c>
      <c r="AJ8" s="612">
        <v>885592.62000000034</v>
      </c>
      <c r="AK8" s="612">
        <v>390415.41999999981</v>
      </c>
      <c r="AL8" s="612">
        <v>571271.51999999979</v>
      </c>
      <c r="AM8" s="4"/>
      <c r="AN8" s="40">
        <f>+AL6</f>
        <v>45352</v>
      </c>
      <c r="AO8" s="6">
        <v>31959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0.18712228308054071</v>
      </c>
      <c r="AX8" s="372">
        <f t="shared" ref="AX8:AX30" si="5">$H281</f>
        <v>0.18314647642119239</v>
      </c>
      <c r="AY8" s="372">
        <f t="shared" ref="AY8:AY30" si="6">$K281</f>
        <v>0.18411043919926251</v>
      </c>
      <c r="AZ8" s="372">
        <f t="shared" ref="AZ8:AZ30" si="7">$N281</f>
        <v>0.18394009811207335</v>
      </c>
      <c r="BA8" s="372">
        <f t="shared" ref="BA8:BA30" si="8">+S281</f>
        <v>0.18426365903786027</v>
      </c>
      <c r="BB8" s="372">
        <f t="shared" ref="BB8:BB30" si="9">$V281</f>
        <v>0.18380667983013518</v>
      </c>
      <c r="BC8" s="373">
        <v>1</v>
      </c>
      <c r="BD8" s="373">
        <v>2</v>
      </c>
      <c r="BE8" s="372">
        <f t="shared" ref="BE8:BE30" si="10">$E349</f>
        <v>0.18712228308054071</v>
      </c>
      <c r="BF8" s="372">
        <f t="shared" ref="BF8:BF30" si="11">$H349</f>
        <v>0.18314647642119233</v>
      </c>
      <c r="BG8" s="372">
        <f t="shared" ref="BG8:BG30" si="12">$K349</f>
        <v>0.18411043919926251</v>
      </c>
      <c r="BH8" s="372">
        <f t="shared" ref="BH8:BH30" si="13">$N349</f>
        <v>0.18394009811207335</v>
      </c>
      <c r="BI8" s="372">
        <f t="shared" ref="BI8:BI30" si="14">$S349</f>
        <v>0.18426365903786027</v>
      </c>
      <c r="BJ8" s="372">
        <f t="shared" ref="BJ8:BJ30" si="15">$V349</f>
        <v>0.18380667983013521</v>
      </c>
      <c r="BK8" s="7"/>
      <c r="BL8" s="41">
        <f t="shared" ref="BL8:BL43" si="16">+AO8</f>
        <v>31959</v>
      </c>
      <c r="BM8" s="41">
        <f>$AL$135</f>
        <v>571271.51999999979</v>
      </c>
      <c r="BN8" s="15">
        <f t="shared" ref="BN8:BN43" si="17">CHOOSE($CE$3,AW8,AX8,AY8,AZ8,BA8,BB8,BC8,BD8,BE8,BF8,BG8,BH8,BI8,BJ8)</f>
        <v>0.18314647642119239</v>
      </c>
      <c r="BO8" s="41">
        <f>IF(BN8=0,0,+BM8/BN8)</f>
        <v>3119205.6279926137</v>
      </c>
      <c r="BP8" s="41">
        <f t="shared" ref="BP8:BP43" si="18">+BO8-BM8</f>
        <v>2547934.1079926137</v>
      </c>
      <c r="BQ8" s="73">
        <f t="shared" ref="BQ8:BQ43" si="19">IF(BL8=0,0,+BO8/BL8)</f>
        <v>97.600226164542505</v>
      </c>
      <c r="BR8" s="7"/>
      <c r="BS8" s="73">
        <f t="shared" ref="BS8:BS43" si="20">IF(BL8=0,0,+$BM8/AW8/$BL8)</f>
        <v>95.526503982711958</v>
      </c>
      <c r="BT8" s="73">
        <f t="shared" ref="BT8:BT43" si="21">IF(BL8=0,0,+$BM8/AX8/$BL8)</f>
        <v>97.600226164542505</v>
      </c>
      <c r="BU8" s="73">
        <f t="shared" ref="BU8:BU43" si="22">IF(BL8=0,0,+$BM8/AY8/$BL8)</f>
        <v>97.089212310232909</v>
      </c>
      <c r="BV8" s="73">
        <f t="shared" ref="BV8:BV43" si="23">IF(BL8=0,0,+$BM8/AZ8/$BL8)</f>
        <v>97.179123548451273</v>
      </c>
      <c r="BW8" s="73">
        <f t="shared" ref="BW8:BW43" si="24">IF(BL8=0,0,+$BM8/BB8/$BL8)</f>
        <v>97.249662180214131</v>
      </c>
      <c r="BY8" s="41">
        <f>$AL$135</f>
        <v>571271.51999999979</v>
      </c>
      <c r="BZ8" s="41">
        <f>$AL$90</f>
        <v>0</v>
      </c>
      <c r="CA8" s="41">
        <f>+BY8-BZ8</f>
        <v>571271.51999999979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996993.39000000199</v>
      </c>
      <c r="D9" s="612">
        <v>1099072.9700000009</v>
      </c>
      <c r="E9" s="612">
        <v>1773582.079999998</v>
      </c>
      <c r="F9" s="612">
        <v>1849270.8899999978</v>
      </c>
      <c r="G9" s="612">
        <v>1979809.339999994</v>
      </c>
      <c r="H9" s="612">
        <v>1459384.9199999967</v>
      </c>
      <c r="I9" s="612">
        <v>1738201.1299999971</v>
      </c>
      <c r="J9" s="612">
        <v>1783434.6299999955</v>
      </c>
      <c r="K9" s="612">
        <v>1165656.0200000009</v>
      </c>
      <c r="L9" s="612">
        <v>1929438.8100000038</v>
      </c>
      <c r="M9" s="612">
        <v>1425391.7700000049</v>
      </c>
      <c r="N9" s="612">
        <v>1904885.3000000028</v>
      </c>
      <c r="O9" s="612">
        <v>1773720.0200000061</v>
      </c>
      <c r="P9" s="612">
        <v>1816168.1300000055</v>
      </c>
      <c r="Q9" s="612">
        <v>1804411.190000006</v>
      </c>
      <c r="R9" s="612">
        <v>2406975.2600000068</v>
      </c>
      <c r="S9" s="612">
        <v>2037549.0700000052</v>
      </c>
      <c r="T9" s="612">
        <v>1954385.0700000071</v>
      </c>
      <c r="U9" s="612">
        <v>2000060.7400000019</v>
      </c>
      <c r="V9" s="612">
        <v>1990378.2700000096</v>
      </c>
      <c r="W9" s="612">
        <v>2183789.3100000033</v>
      </c>
      <c r="X9" s="612">
        <v>1856379.4999999928</v>
      </c>
      <c r="Y9" s="612">
        <v>2326430.0999999866</v>
      </c>
      <c r="Z9" s="612">
        <v>2198378.1399999955</v>
      </c>
      <c r="AA9" s="612">
        <v>2435955.9899999993</v>
      </c>
      <c r="AB9" s="612">
        <v>2479088.1399999987</v>
      </c>
      <c r="AC9" s="612">
        <v>2307497.1999999923</v>
      </c>
      <c r="AD9" s="612">
        <v>2315581.7599999853</v>
      </c>
      <c r="AE9" s="612">
        <v>2708337.3100000136</v>
      </c>
      <c r="AF9" s="612">
        <v>2715547.6899999958</v>
      </c>
      <c r="AG9" s="612">
        <v>2653562.6200000048</v>
      </c>
      <c r="AH9" s="612">
        <v>2528019.5400000014</v>
      </c>
      <c r="AI9" s="612">
        <v>2359768.7699999949</v>
      </c>
      <c r="AJ9" s="612">
        <v>1396203.529999994</v>
      </c>
      <c r="AK9" s="612">
        <v>1429182.7499999988</v>
      </c>
      <c r="AL9" s="612">
        <v>0</v>
      </c>
      <c r="AM9" s="4"/>
      <c r="AN9" s="40">
        <f t="shared" ref="AN9:AN43" si="25">DATE(YEAR(AN8),MONTH(AN8)-1,1)</f>
        <v>45323</v>
      </c>
      <c r="AO9" s="6">
        <v>32222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0.62128215577858903</v>
      </c>
      <c r="AX9" s="372">
        <f t="shared" si="5"/>
        <v>0.64704436033936741</v>
      </c>
      <c r="AY9" s="372">
        <f t="shared" si="6"/>
        <v>0.66653667750100787</v>
      </c>
      <c r="AZ9" s="372">
        <f t="shared" si="7"/>
        <v>0.6341227100740372</v>
      </c>
      <c r="BA9" s="372">
        <f t="shared" si="8"/>
        <v>0.66283687474186226</v>
      </c>
      <c r="BB9" s="372">
        <f t="shared" si="9"/>
        <v>0.67370436252184629</v>
      </c>
      <c r="BC9" s="373">
        <v>1</v>
      </c>
      <c r="BD9" s="373">
        <v>2</v>
      </c>
      <c r="BE9" s="372">
        <f t="shared" si="10"/>
        <v>0.62128215577858903</v>
      </c>
      <c r="BF9" s="372">
        <f t="shared" si="11"/>
        <v>0.64704436033936719</v>
      </c>
      <c r="BG9" s="372">
        <f t="shared" si="12"/>
        <v>0.66653667750100787</v>
      </c>
      <c r="BH9" s="372">
        <f t="shared" si="13"/>
        <v>0.6341227100740372</v>
      </c>
      <c r="BI9" s="372">
        <f t="shared" si="14"/>
        <v>0.66283687474186226</v>
      </c>
      <c r="BJ9" s="372">
        <f t="shared" si="15"/>
        <v>0.6737043625218464</v>
      </c>
      <c r="BK9" s="7"/>
      <c r="BL9" s="41">
        <f t="shared" si="16"/>
        <v>32222</v>
      </c>
      <c r="BM9" s="41">
        <f>$AK$135</f>
        <v>1819598.1699999985</v>
      </c>
      <c r="BN9" s="15">
        <f t="shared" si="17"/>
        <v>0.64704436033936741</v>
      </c>
      <c r="BO9" s="41">
        <f t="shared" ref="BO9:BO13" si="27">IF(BN9=0,0,+BM9/BN9)</f>
        <v>2812169.1209017569</v>
      </c>
      <c r="BP9" s="41">
        <f t="shared" si="18"/>
        <v>992570.95090175839</v>
      </c>
      <c r="BQ9" s="73">
        <f t="shared" si="19"/>
        <v>87.274815992233783</v>
      </c>
      <c r="BR9" s="7"/>
      <c r="BS9" s="73">
        <f t="shared" si="20"/>
        <v>90.893770185081209</v>
      </c>
      <c r="BT9" s="73">
        <f t="shared" si="21"/>
        <v>87.274815992233783</v>
      </c>
      <c r="BU9" s="73">
        <f t="shared" si="22"/>
        <v>84.722535748748058</v>
      </c>
      <c r="BV9" s="73">
        <f t="shared" si="23"/>
        <v>89.053233057743114</v>
      </c>
      <c r="BW9" s="73">
        <f t="shared" si="24"/>
        <v>83.821154543287861</v>
      </c>
      <c r="BY9" s="41">
        <f>$AK$135</f>
        <v>1819598.1699999985</v>
      </c>
      <c r="BZ9" s="41">
        <f>$AK$90</f>
        <v>0</v>
      </c>
      <c r="CA9" s="41">
        <f t="shared" ref="CA9:CA43" si="28">+BY9-BZ9</f>
        <v>1819598.1699999985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0</v>
      </c>
    </row>
    <row r="10" spans="1:94" x14ac:dyDescent="0.2">
      <c r="A10" s="568" t="s">
        <v>980</v>
      </c>
      <c r="B10" s="6"/>
      <c r="C10" s="612">
        <v>381728.93000000034</v>
      </c>
      <c r="D10" s="612">
        <v>752129.85</v>
      </c>
      <c r="E10" s="612">
        <v>508333.79999999981</v>
      </c>
      <c r="F10" s="612">
        <v>841753.54000000015</v>
      </c>
      <c r="G10" s="612">
        <v>362217.38000000041</v>
      </c>
      <c r="H10" s="612">
        <v>632893.54999999935</v>
      </c>
      <c r="I10" s="612">
        <v>731025.26999999874</v>
      </c>
      <c r="J10" s="612">
        <v>589219.24000000081</v>
      </c>
      <c r="K10" s="612">
        <v>1235946.3999999987</v>
      </c>
      <c r="L10" s="612">
        <v>601039.48000000056</v>
      </c>
      <c r="M10" s="612">
        <v>641560.65000000049</v>
      </c>
      <c r="N10" s="612">
        <v>955181.12000000069</v>
      </c>
      <c r="O10" s="612">
        <v>835768.89000000106</v>
      </c>
      <c r="P10" s="612">
        <v>887571.59000000043</v>
      </c>
      <c r="Q10" s="612">
        <v>1203650.1900000011</v>
      </c>
      <c r="R10" s="612">
        <v>524840.57999999938</v>
      </c>
      <c r="S10" s="612">
        <v>658998.25</v>
      </c>
      <c r="T10" s="612">
        <v>876785.08999999962</v>
      </c>
      <c r="U10" s="612">
        <v>845285.75</v>
      </c>
      <c r="V10" s="612">
        <v>721842.08000000019</v>
      </c>
      <c r="W10" s="612">
        <v>537953.88999999966</v>
      </c>
      <c r="X10" s="612">
        <v>834521.04000000015</v>
      </c>
      <c r="Y10" s="612">
        <v>684800.34999999939</v>
      </c>
      <c r="Z10" s="612">
        <v>954812.17999999656</v>
      </c>
      <c r="AA10" s="612">
        <v>890764.17999999819</v>
      </c>
      <c r="AB10" s="612">
        <v>877810.76999999979</v>
      </c>
      <c r="AC10" s="612">
        <v>951002.20999999729</v>
      </c>
      <c r="AD10" s="612">
        <v>986918.05999999878</v>
      </c>
      <c r="AE10" s="612">
        <v>1003367.2299999996</v>
      </c>
      <c r="AF10" s="612">
        <v>965089.46000000008</v>
      </c>
      <c r="AG10" s="612">
        <v>1085842.28</v>
      </c>
      <c r="AH10" s="612">
        <v>1278018.0699999975</v>
      </c>
      <c r="AI10" s="612">
        <v>930380.86</v>
      </c>
      <c r="AJ10" s="612">
        <v>1196878.9899999981</v>
      </c>
      <c r="AK10" s="612">
        <v>0</v>
      </c>
      <c r="AL10" s="612">
        <v>0</v>
      </c>
      <c r="AM10" s="4"/>
      <c r="AN10" s="40">
        <f t="shared" si="25"/>
        <v>45292</v>
      </c>
      <c r="AO10" s="6">
        <v>32515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0.85924411067638606</v>
      </c>
      <c r="AX10" s="372">
        <f t="shared" si="5"/>
        <v>0.86030263182158717</v>
      </c>
      <c r="AY10" s="372">
        <f t="shared" si="6"/>
        <v>0.86723044385625625</v>
      </c>
      <c r="AZ10" s="372">
        <f t="shared" si="7"/>
        <v>0.82155703006404168</v>
      </c>
      <c r="BA10" s="372">
        <f t="shared" si="8"/>
        <v>0.86314418081085598</v>
      </c>
      <c r="BB10" s="372">
        <f t="shared" si="9"/>
        <v>0.87028286804875155</v>
      </c>
      <c r="BC10" s="373">
        <v>1</v>
      </c>
      <c r="BD10" s="373">
        <v>2</v>
      </c>
      <c r="BE10" s="372">
        <f t="shared" si="10"/>
        <v>0.85924411067638606</v>
      </c>
      <c r="BF10" s="372">
        <f t="shared" si="11"/>
        <v>0.86030263182158695</v>
      </c>
      <c r="BG10" s="372">
        <f t="shared" si="12"/>
        <v>0.86723044385625636</v>
      </c>
      <c r="BH10" s="372">
        <f t="shared" si="13"/>
        <v>0.82155703006404179</v>
      </c>
      <c r="BI10" s="372">
        <f t="shared" si="14"/>
        <v>0.86314418081085598</v>
      </c>
      <c r="BJ10" s="372">
        <f t="shared" si="15"/>
        <v>0.87028286804875166</v>
      </c>
      <c r="BK10" s="7"/>
      <c r="BL10" s="41">
        <f t="shared" si="16"/>
        <v>32515</v>
      </c>
      <c r="BM10" s="41">
        <f>$AJ$135</f>
        <v>3478675.1399999922</v>
      </c>
      <c r="BN10" s="15">
        <f t="shared" si="17"/>
        <v>0.86030263182158717</v>
      </c>
      <c r="BO10" s="41">
        <f t="shared" si="27"/>
        <v>4043548.1786616375</v>
      </c>
      <c r="BP10" s="41">
        <f t="shared" si="18"/>
        <v>564873.03866164526</v>
      </c>
      <c r="BQ10" s="73">
        <f t="shared" si="19"/>
        <v>124.35947035711634</v>
      </c>
      <c r="BR10" s="7"/>
      <c r="BS10" s="73">
        <f t="shared" si="20"/>
        <v>124.51267144088682</v>
      </c>
      <c r="BT10" s="73">
        <f t="shared" si="21"/>
        <v>124.35947035711634</v>
      </c>
      <c r="BU10" s="73">
        <f t="shared" si="22"/>
        <v>123.36603309777134</v>
      </c>
      <c r="BV10" s="73">
        <f t="shared" si="23"/>
        <v>130.22441014451064</v>
      </c>
      <c r="BW10" s="73">
        <f t="shared" si="24"/>
        <v>122.93333991514659</v>
      </c>
      <c r="BY10" s="41">
        <f>$AJ$135</f>
        <v>3478675.1399999922</v>
      </c>
      <c r="BZ10" s="41">
        <f>$AJ$90</f>
        <v>0</v>
      </c>
      <c r="CA10" s="41">
        <f t="shared" si="28"/>
        <v>3478675.1399999922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1</v>
      </c>
    </row>
    <row r="11" spans="1:94" x14ac:dyDescent="0.2">
      <c r="A11" s="568" t="s">
        <v>981</v>
      </c>
      <c r="B11" s="6"/>
      <c r="C11" s="612">
        <v>334782.81</v>
      </c>
      <c r="D11" s="612">
        <v>298072.36999999976</v>
      </c>
      <c r="E11" s="612">
        <v>535093.92999999959</v>
      </c>
      <c r="F11" s="612">
        <v>140271.31999999992</v>
      </c>
      <c r="G11" s="612">
        <v>291439.0700000003</v>
      </c>
      <c r="H11" s="612">
        <v>301952.11000000016</v>
      </c>
      <c r="I11" s="612">
        <v>449943.09000000026</v>
      </c>
      <c r="J11" s="612">
        <v>546283.95999999973</v>
      </c>
      <c r="K11" s="612">
        <v>396779.53000000044</v>
      </c>
      <c r="L11" s="612">
        <v>342481.31999999995</v>
      </c>
      <c r="M11" s="612">
        <v>370706.48999999964</v>
      </c>
      <c r="N11" s="612">
        <v>520811.28999999975</v>
      </c>
      <c r="O11" s="612">
        <v>420955.83999999962</v>
      </c>
      <c r="P11" s="612">
        <v>334590.12999999942</v>
      </c>
      <c r="Q11" s="612">
        <v>137097.75000000003</v>
      </c>
      <c r="R11" s="612">
        <v>163463.13000000018</v>
      </c>
      <c r="S11" s="612">
        <v>201317.80999999997</v>
      </c>
      <c r="T11" s="612">
        <v>225396.57000000009</v>
      </c>
      <c r="U11" s="612">
        <v>266688.14000000013</v>
      </c>
      <c r="V11" s="612">
        <v>200685.99999999994</v>
      </c>
      <c r="W11" s="612">
        <v>270467.65999999986</v>
      </c>
      <c r="X11" s="612">
        <v>287760.24999999988</v>
      </c>
      <c r="Y11" s="612">
        <v>212476.00000000012</v>
      </c>
      <c r="Z11" s="612">
        <v>263281.68999999994</v>
      </c>
      <c r="AA11" s="612">
        <v>235467.19000000021</v>
      </c>
      <c r="AB11" s="612">
        <v>265364.6700000001</v>
      </c>
      <c r="AC11" s="612">
        <v>287982.66999999993</v>
      </c>
      <c r="AD11" s="612">
        <v>334775.23000000027</v>
      </c>
      <c r="AE11" s="612">
        <v>320759.19000000041</v>
      </c>
      <c r="AF11" s="612">
        <v>356481.47000000061</v>
      </c>
      <c r="AG11" s="612">
        <v>419390.68000000005</v>
      </c>
      <c r="AH11" s="612">
        <v>274665.9099999998</v>
      </c>
      <c r="AI11" s="612">
        <v>306998.1199999997</v>
      </c>
      <c r="AJ11" s="612">
        <v>0</v>
      </c>
      <c r="AK11" s="612">
        <v>0</v>
      </c>
      <c r="AL11" s="612">
        <v>0</v>
      </c>
      <c r="AM11" s="4"/>
      <c r="AN11" s="40">
        <f t="shared" si="25"/>
        <v>45261</v>
      </c>
      <c r="AO11" s="6">
        <v>37641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0.92002832729817041</v>
      </c>
      <c r="AX11" s="372">
        <f t="shared" si="5"/>
        <v>0.92422314317391896</v>
      </c>
      <c r="AY11" s="372">
        <f t="shared" si="6"/>
        <v>0.92704466688224663</v>
      </c>
      <c r="AZ11" s="372">
        <f t="shared" si="7"/>
        <v>0.8954392849361742</v>
      </c>
      <c r="BA11" s="372">
        <f t="shared" si="8"/>
        <v>0.92894078522060308</v>
      </c>
      <c r="BB11" s="372">
        <f t="shared" si="9"/>
        <v>0.93041684822830339</v>
      </c>
      <c r="BC11" s="373">
        <v>1</v>
      </c>
      <c r="BD11" s="373">
        <v>2</v>
      </c>
      <c r="BE11" s="372">
        <f t="shared" si="10"/>
        <v>0.92002832729817041</v>
      </c>
      <c r="BF11" s="372">
        <f t="shared" si="11"/>
        <v>0.92422314317391874</v>
      </c>
      <c r="BG11" s="372">
        <f t="shared" si="12"/>
        <v>0.92704466688224674</v>
      </c>
      <c r="BH11" s="372">
        <f t="shared" si="13"/>
        <v>0.89543928493617431</v>
      </c>
      <c r="BI11" s="372">
        <f t="shared" si="14"/>
        <v>0.92894078522060308</v>
      </c>
      <c r="BJ11" s="372">
        <f t="shared" si="15"/>
        <v>0.93041684822830351</v>
      </c>
      <c r="BK11" s="7"/>
      <c r="BL11" s="41">
        <f t="shared" si="16"/>
        <v>37641</v>
      </c>
      <c r="BM11" s="41">
        <f>$AI$135</f>
        <v>4612761.2399999928</v>
      </c>
      <c r="BN11" s="15">
        <f t="shared" si="17"/>
        <v>0.92422314317391896</v>
      </c>
      <c r="BO11" s="41">
        <f t="shared" si="27"/>
        <v>4990960.5424498338</v>
      </c>
      <c r="BP11" s="41">
        <f t="shared" si="18"/>
        <v>378199.30244984105</v>
      </c>
      <c r="BQ11" s="73">
        <f t="shared" si="19"/>
        <v>132.59372871203831</v>
      </c>
      <c r="BR11" s="7"/>
      <c r="BS11" s="73">
        <f t="shared" si="20"/>
        <v>133.19828213906086</v>
      </c>
      <c r="BT11" s="73">
        <f t="shared" si="21"/>
        <v>132.59372871203831</v>
      </c>
      <c r="BU11" s="73">
        <f t="shared" si="22"/>
        <v>132.19017065005755</v>
      </c>
      <c r="BV11" s="73">
        <f t="shared" si="23"/>
        <v>136.85594855727697</v>
      </c>
      <c r="BW11" s="73">
        <f t="shared" si="24"/>
        <v>131.71106364716201</v>
      </c>
      <c r="BY11" s="41">
        <f>$AI$135</f>
        <v>4612761.2399999928</v>
      </c>
      <c r="BZ11" s="41">
        <f>$AI$90</f>
        <v>0</v>
      </c>
      <c r="CA11" s="41">
        <f t="shared" si="28"/>
        <v>4612761.2399999928</v>
      </c>
      <c r="CM11" s="32" t="s">
        <v>75</v>
      </c>
      <c r="CN11" s="30"/>
      <c r="CO11" s="30">
        <f t="shared" si="2"/>
        <v>1</v>
      </c>
      <c r="CP11" s="31">
        <f t="shared" si="0"/>
        <v>0</v>
      </c>
    </row>
    <row r="12" spans="1:94" x14ac:dyDescent="0.2">
      <c r="A12" s="568" t="s">
        <v>982</v>
      </c>
      <c r="B12" s="6"/>
      <c r="C12" s="612">
        <v>133530.56999999995</v>
      </c>
      <c r="D12" s="612">
        <v>321296.21999999956</v>
      </c>
      <c r="E12" s="612">
        <v>55702.040000000015</v>
      </c>
      <c r="F12" s="612">
        <v>192050.44000000024</v>
      </c>
      <c r="G12" s="612">
        <v>163097.68999999994</v>
      </c>
      <c r="H12" s="612">
        <v>272450.56999999995</v>
      </c>
      <c r="I12" s="612">
        <v>175392.5</v>
      </c>
      <c r="J12" s="612">
        <v>164227.2099999999</v>
      </c>
      <c r="K12" s="612">
        <v>198774.30000000005</v>
      </c>
      <c r="L12" s="612">
        <v>142853.07</v>
      </c>
      <c r="M12" s="612">
        <v>210355.86000000002</v>
      </c>
      <c r="N12" s="612">
        <v>183759.04</v>
      </c>
      <c r="O12" s="612">
        <v>105310.87000000002</v>
      </c>
      <c r="P12" s="612">
        <v>29270.999999999996</v>
      </c>
      <c r="Q12" s="612">
        <v>28214.720000000001</v>
      </c>
      <c r="R12" s="612">
        <v>76865.170000000027</v>
      </c>
      <c r="S12" s="612">
        <v>80561.879999999976</v>
      </c>
      <c r="T12" s="612">
        <v>67992.13</v>
      </c>
      <c r="U12" s="612">
        <v>90458.11</v>
      </c>
      <c r="V12" s="612">
        <v>122483.65</v>
      </c>
      <c r="W12" s="612">
        <v>76193.689999999988</v>
      </c>
      <c r="X12" s="612">
        <v>87296.740000000034</v>
      </c>
      <c r="Y12" s="612">
        <v>52235.94000000001</v>
      </c>
      <c r="Z12" s="612">
        <v>69022.979999999967</v>
      </c>
      <c r="AA12" s="612">
        <v>80829.72</v>
      </c>
      <c r="AB12" s="612">
        <v>104993.70999999995</v>
      </c>
      <c r="AC12" s="612">
        <v>117899.06999999998</v>
      </c>
      <c r="AD12" s="612">
        <v>103054.69000000002</v>
      </c>
      <c r="AE12" s="612">
        <v>78118.190000000031</v>
      </c>
      <c r="AF12" s="612">
        <v>128763.84999999998</v>
      </c>
      <c r="AG12" s="612">
        <v>123513.11</v>
      </c>
      <c r="AH12" s="612">
        <v>136946.48000000001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37790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0.94374169839118216</v>
      </c>
      <c r="AX12" s="372">
        <f t="shared" si="5"/>
        <v>0.9461765251161306</v>
      </c>
      <c r="AY12" s="372">
        <f t="shared" si="6"/>
        <v>0.9465889990995926</v>
      </c>
      <c r="AZ12" s="372">
        <f t="shared" si="7"/>
        <v>0.92566551582853052</v>
      </c>
      <c r="BA12" s="372">
        <f t="shared" si="8"/>
        <v>0.95197854651252267</v>
      </c>
      <c r="BB12" s="372">
        <f t="shared" si="9"/>
        <v>0.95024245116176265</v>
      </c>
      <c r="BC12" s="373">
        <v>1</v>
      </c>
      <c r="BD12" s="373">
        <v>2</v>
      </c>
      <c r="BE12" s="372">
        <f t="shared" si="10"/>
        <v>0.94374169839118216</v>
      </c>
      <c r="BF12" s="372">
        <f t="shared" si="11"/>
        <v>0.94617652511613037</v>
      </c>
      <c r="BG12" s="372">
        <f t="shared" si="12"/>
        <v>0.94658899909959271</v>
      </c>
      <c r="BH12" s="372">
        <f t="shared" si="13"/>
        <v>0.92566551582853063</v>
      </c>
      <c r="BI12" s="372">
        <f t="shared" si="14"/>
        <v>0.95197854651252267</v>
      </c>
      <c r="BJ12" s="372">
        <f t="shared" si="15"/>
        <v>0.95024245116176276</v>
      </c>
      <c r="BK12" s="7"/>
      <c r="BL12" s="41">
        <f t="shared" si="16"/>
        <v>37790</v>
      </c>
      <c r="BM12" s="41">
        <f>$AH$135</f>
        <v>5132941.4099999983</v>
      </c>
      <c r="BN12" s="15">
        <f t="shared" si="17"/>
        <v>0.9461765251161306</v>
      </c>
      <c r="BO12" s="41">
        <f t="shared" si="27"/>
        <v>5424929.9932377823</v>
      </c>
      <c r="BP12" s="41">
        <f t="shared" si="18"/>
        <v>291988.58323778398</v>
      </c>
      <c r="BQ12" s="73">
        <f t="shared" si="19"/>
        <v>143.55464390679498</v>
      </c>
      <c r="BR12" s="7"/>
      <c r="BS12" s="73">
        <f t="shared" si="20"/>
        <v>143.9250108028117</v>
      </c>
      <c r="BT12" s="73">
        <f t="shared" si="21"/>
        <v>143.55464390679498</v>
      </c>
      <c r="BU12" s="73">
        <f t="shared" si="22"/>
        <v>143.49209030024235</v>
      </c>
      <c r="BV12" s="73">
        <f t="shared" si="23"/>
        <v>146.73554519792162</v>
      </c>
      <c r="BW12" s="73">
        <f t="shared" si="24"/>
        <v>142.94039796890991</v>
      </c>
      <c r="BY12" s="41">
        <f>$AH$135</f>
        <v>5132941.4099999983</v>
      </c>
      <c r="BZ12" s="41">
        <f>$AH$90</f>
        <v>0</v>
      </c>
      <c r="CA12" s="41">
        <f t="shared" si="28"/>
        <v>5132941.4099999983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198055.72</v>
      </c>
      <c r="D13" s="612">
        <v>53405.270000000004</v>
      </c>
      <c r="E13" s="612">
        <v>154077.46999999994</v>
      </c>
      <c r="F13" s="612">
        <v>114340.20000000001</v>
      </c>
      <c r="G13" s="612">
        <v>141935.57</v>
      </c>
      <c r="H13" s="612">
        <v>63249.569999999971</v>
      </c>
      <c r="I13" s="612">
        <v>58047.799999999996</v>
      </c>
      <c r="J13" s="612">
        <v>67724.030000000013</v>
      </c>
      <c r="K13" s="612">
        <v>41200.159999999996</v>
      </c>
      <c r="L13" s="612">
        <v>106414.36999999997</v>
      </c>
      <c r="M13" s="612">
        <v>76335.92</v>
      </c>
      <c r="N13" s="612">
        <v>36124.800000000003</v>
      </c>
      <c r="O13" s="612">
        <v>32096.500000000004</v>
      </c>
      <c r="P13" s="612">
        <v>19092.370000000003</v>
      </c>
      <c r="Q13" s="612">
        <v>19187.710000000003</v>
      </c>
      <c r="R13" s="612">
        <v>12299.640000000001</v>
      </c>
      <c r="S13" s="612">
        <v>47353.280000000013</v>
      </c>
      <c r="T13" s="612">
        <v>60235.95</v>
      </c>
      <c r="U13" s="612">
        <v>40612.92</v>
      </c>
      <c r="V13" s="612">
        <v>21325.67</v>
      </c>
      <c r="W13" s="612">
        <v>38110.799999999981</v>
      </c>
      <c r="X13" s="612">
        <v>36673.060000000012</v>
      </c>
      <c r="Y13" s="612">
        <v>22232.189999999995</v>
      </c>
      <c r="Z13" s="612">
        <v>40985.969999999987</v>
      </c>
      <c r="AA13" s="612">
        <v>31494.99</v>
      </c>
      <c r="AB13" s="612">
        <v>33523.37000000001</v>
      </c>
      <c r="AC13" s="612">
        <v>45258.220000000008</v>
      </c>
      <c r="AD13" s="612">
        <v>26584.940000000002</v>
      </c>
      <c r="AE13" s="612">
        <v>49736.140000000014</v>
      </c>
      <c r="AF13" s="612">
        <v>25610.329999999994</v>
      </c>
      <c r="AG13" s="612">
        <v>35030.54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39598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0.95052475165636952</v>
      </c>
      <c r="AX13" s="372">
        <f t="shared" si="5"/>
        <v>0.95320743226422966</v>
      </c>
      <c r="AY13" s="372">
        <f t="shared" si="6"/>
        <v>0.9537112389836917</v>
      </c>
      <c r="AZ13" s="372">
        <f t="shared" si="7"/>
        <v>0.93992390439053208</v>
      </c>
      <c r="BA13" s="372">
        <f t="shared" si="8"/>
        <v>0.95894812654782391</v>
      </c>
      <c r="BB13" s="372">
        <f t="shared" si="9"/>
        <v>0.95725967042590221</v>
      </c>
      <c r="BC13" s="373">
        <v>1</v>
      </c>
      <c r="BD13" s="373">
        <v>2</v>
      </c>
      <c r="BE13" s="372">
        <f t="shared" si="10"/>
        <v>0.95052475165636952</v>
      </c>
      <c r="BF13" s="372">
        <f t="shared" si="11"/>
        <v>0.95320743226422944</v>
      </c>
      <c r="BG13" s="372">
        <f t="shared" si="12"/>
        <v>0.95392544727521877</v>
      </c>
      <c r="BH13" s="372">
        <f t="shared" si="13"/>
        <v>0.93992390439053219</v>
      </c>
      <c r="BI13" s="372">
        <f t="shared" si="14"/>
        <v>0.95894812654782391</v>
      </c>
      <c r="BJ13" s="372">
        <f t="shared" si="15"/>
        <v>0.95725967042590232</v>
      </c>
      <c r="BK13" s="7"/>
      <c r="BL13" s="41">
        <f t="shared" si="16"/>
        <v>39598</v>
      </c>
      <c r="BM13" s="41">
        <f>$AG$135</f>
        <v>5628476.9799999958</v>
      </c>
      <c r="BN13" s="15">
        <f t="shared" si="17"/>
        <v>0.95320743226422966</v>
      </c>
      <c r="BO13" s="41">
        <f t="shared" si="27"/>
        <v>5904776.6409355681</v>
      </c>
      <c r="BP13" s="41">
        <f t="shared" si="18"/>
        <v>276299.66093557235</v>
      </c>
      <c r="BQ13" s="73">
        <f t="shared" si="19"/>
        <v>149.1180524505169</v>
      </c>
      <c r="BR13" s="7"/>
      <c r="BS13" s="73">
        <f t="shared" si="20"/>
        <v>149.53891062058958</v>
      </c>
      <c r="BT13" s="73">
        <f t="shared" si="21"/>
        <v>149.1180524505169</v>
      </c>
      <c r="BU13" s="73">
        <f t="shared" si="22"/>
        <v>149.03927947003098</v>
      </c>
      <c r="BV13" s="73">
        <f t="shared" si="23"/>
        <v>151.22547178195984</v>
      </c>
      <c r="BW13" s="73">
        <f t="shared" si="24"/>
        <v>148.48681112551108</v>
      </c>
      <c r="BY13" s="41">
        <f>$AG$135</f>
        <v>5628476.9799999958</v>
      </c>
      <c r="BZ13" s="41">
        <f>$AG$90</f>
        <v>0</v>
      </c>
      <c r="CA13" s="41">
        <f t="shared" si="28"/>
        <v>5628476.9799999958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31959.280000000002</v>
      </c>
      <c r="D14" s="612">
        <v>75117.009999999995</v>
      </c>
      <c r="E14" s="612">
        <v>93371.620000000039</v>
      </c>
      <c r="F14" s="612">
        <v>52985.890000000007</v>
      </c>
      <c r="G14" s="612">
        <v>37636.44000000001</v>
      </c>
      <c r="H14" s="612">
        <v>38958.559999999998</v>
      </c>
      <c r="I14" s="612">
        <v>25840.210000000006</v>
      </c>
      <c r="J14" s="612">
        <v>25583.78000000001</v>
      </c>
      <c r="K14" s="612">
        <v>31042.25</v>
      </c>
      <c r="L14" s="612">
        <v>58860.079999999987</v>
      </c>
      <c r="M14" s="612">
        <v>30932.009999999995</v>
      </c>
      <c r="N14" s="612">
        <v>45651.359999999986</v>
      </c>
      <c r="O14" s="612">
        <v>13924.229999999998</v>
      </c>
      <c r="P14" s="612">
        <v>17608.25</v>
      </c>
      <c r="Q14" s="612">
        <v>11069.369999999999</v>
      </c>
      <c r="R14" s="612">
        <v>14499.360000000004</v>
      </c>
      <c r="S14" s="612">
        <v>49244.87000000001</v>
      </c>
      <c r="T14" s="612">
        <v>19416.280000000006</v>
      </c>
      <c r="U14" s="612">
        <v>39648.770000000004</v>
      </c>
      <c r="V14" s="612">
        <v>34297.379999999997</v>
      </c>
      <c r="W14" s="612">
        <v>27206.739999999994</v>
      </c>
      <c r="X14" s="612">
        <v>65218.44</v>
      </c>
      <c r="Y14" s="612">
        <v>23787.80000000001</v>
      </c>
      <c r="Z14" s="612">
        <v>35953.39</v>
      </c>
      <c r="AA14" s="612">
        <v>30663.649999999994</v>
      </c>
      <c r="AB14" s="612">
        <v>38753.680000000008</v>
      </c>
      <c r="AC14" s="612">
        <v>22101.230000000003</v>
      </c>
      <c r="AD14" s="612">
        <v>47666.499999999993</v>
      </c>
      <c r="AE14" s="612">
        <v>26876.040000000012</v>
      </c>
      <c r="AF14" s="612">
        <v>22227.510000000002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39369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0.95697048412543828</v>
      </c>
      <c r="AX14" s="372">
        <f t="shared" si="5"/>
        <v>0.95966901885398148</v>
      </c>
      <c r="AY14" s="372">
        <f t="shared" si="6"/>
        <v>0.96110288740340877</v>
      </c>
      <c r="AZ14" s="372">
        <f t="shared" si="7"/>
        <v>0.94878242864628126</v>
      </c>
      <c r="BA14" s="372">
        <f t="shared" si="8"/>
        <v>0.96510644208151386</v>
      </c>
      <c r="BB14" s="372">
        <f t="shared" si="9"/>
        <v>0.96420977627190563</v>
      </c>
      <c r="BC14" s="373">
        <v>1</v>
      </c>
      <c r="BD14" s="373">
        <v>2</v>
      </c>
      <c r="BE14" s="372">
        <f t="shared" si="10"/>
        <v>0.95697048412543828</v>
      </c>
      <c r="BF14" s="372">
        <f t="shared" si="11"/>
        <v>0.95966901885398126</v>
      </c>
      <c r="BG14" s="372">
        <f t="shared" si="12"/>
        <v>0.96110288740340888</v>
      </c>
      <c r="BH14" s="372">
        <f t="shared" si="13"/>
        <v>0.94878242864628137</v>
      </c>
      <c r="BI14" s="372">
        <f t="shared" si="14"/>
        <v>0.96510686122692058</v>
      </c>
      <c r="BJ14" s="372">
        <f t="shared" si="15"/>
        <v>0.96420977627190574</v>
      </c>
      <c r="BK14" s="7"/>
      <c r="BL14" s="41">
        <f t="shared" si="16"/>
        <v>39369</v>
      </c>
      <c r="BM14" s="41">
        <f>$AF$135</f>
        <v>4885085.5199999968</v>
      </c>
      <c r="BN14" s="15">
        <f t="shared" si="17"/>
        <v>0.95966901885398148</v>
      </c>
      <c r="BO14" s="41">
        <f t="shared" ref="BO14:BO43" si="29">+BM14/BN14</f>
        <v>5090385.772621558</v>
      </c>
      <c r="BP14" s="41">
        <f t="shared" si="18"/>
        <v>205300.25262156129</v>
      </c>
      <c r="BQ14" s="73">
        <f t="shared" si="19"/>
        <v>129.29934142654267</v>
      </c>
      <c r="BR14" s="7"/>
      <c r="BS14" s="73">
        <f t="shared" si="20"/>
        <v>129.66394908059812</v>
      </c>
      <c r="BT14" s="73">
        <f t="shared" si="21"/>
        <v>129.29934142654267</v>
      </c>
      <c r="BU14" s="73">
        <f t="shared" si="22"/>
        <v>129.10643985319075</v>
      </c>
      <c r="BV14" s="73">
        <f t="shared" si="23"/>
        <v>130.78295758735698</v>
      </c>
      <c r="BW14" s="73">
        <f t="shared" si="24"/>
        <v>128.69043145885351</v>
      </c>
      <c r="BY14" s="41">
        <f>$AF$135</f>
        <v>4885085.5199999968</v>
      </c>
      <c r="BZ14" s="41">
        <f>$AF$90</f>
        <v>0</v>
      </c>
      <c r="CA14" s="41">
        <f t="shared" si="28"/>
        <v>4885085.5199999968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74047.179999999978</v>
      </c>
      <c r="D15" s="612">
        <v>47144.840000000004</v>
      </c>
      <c r="E15" s="612">
        <v>39638.240000000005</v>
      </c>
      <c r="F15" s="612">
        <v>25109.039999999997</v>
      </c>
      <c r="G15" s="612">
        <v>21355.999999999996</v>
      </c>
      <c r="H15" s="612">
        <v>13032.349999999999</v>
      </c>
      <c r="I15" s="612">
        <v>24728.689999999995</v>
      </c>
      <c r="J15" s="612">
        <v>16262.239999999998</v>
      </c>
      <c r="K15" s="612">
        <v>50949.38</v>
      </c>
      <c r="L15" s="612">
        <v>40990.569999999985</v>
      </c>
      <c r="M15" s="612">
        <v>94511.86</v>
      </c>
      <c r="N15" s="612">
        <v>28496.279999999995</v>
      </c>
      <c r="O15" s="612">
        <v>21007.799999999996</v>
      </c>
      <c r="P15" s="612">
        <v>23290.400000000001</v>
      </c>
      <c r="Q15" s="612">
        <v>9928.3699999999972</v>
      </c>
      <c r="R15" s="612">
        <v>36682.43</v>
      </c>
      <c r="S15" s="612">
        <v>28789.94</v>
      </c>
      <c r="T15" s="612">
        <v>32279.419999999995</v>
      </c>
      <c r="U15" s="612">
        <v>15232.619999999999</v>
      </c>
      <c r="V15" s="612">
        <v>21219.4</v>
      </c>
      <c r="W15" s="612">
        <v>19525.289999999997</v>
      </c>
      <c r="X15" s="612">
        <v>32711.320000000003</v>
      </c>
      <c r="Y15" s="612">
        <v>34816.020000000004</v>
      </c>
      <c r="Z15" s="612">
        <v>33525.939999999995</v>
      </c>
      <c r="AA15" s="612">
        <v>30104.070000000003</v>
      </c>
      <c r="AB15" s="612">
        <v>27965.000000000004</v>
      </c>
      <c r="AC15" s="612">
        <v>41088.57</v>
      </c>
      <c r="AD15" s="612">
        <v>25947.559999999998</v>
      </c>
      <c r="AE15" s="612">
        <v>29140.390000000003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39172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0.96338965037125657</v>
      </c>
      <c r="AX15" s="372">
        <f t="shared" si="5"/>
        <v>0.96607216938916862</v>
      </c>
      <c r="AY15" s="372">
        <f t="shared" si="6"/>
        <v>0.96722497018109532</v>
      </c>
      <c r="AZ15" s="372">
        <f t="shared" si="7"/>
        <v>0.95677546360043197</v>
      </c>
      <c r="BA15" s="372">
        <f t="shared" si="8"/>
        <v>0.97130472783787125</v>
      </c>
      <c r="BB15" s="372">
        <f t="shared" si="9"/>
        <v>0.97041354804821212</v>
      </c>
      <c r="BC15" s="373">
        <v>1</v>
      </c>
      <c r="BD15" s="373">
        <v>2</v>
      </c>
      <c r="BE15" s="372">
        <f t="shared" si="10"/>
        <v>0.96338965037125657</v>
      </c>
      <c r="BF15" s="372">
        <f t="shared" si="11"/>
        <v>0.9660721693891684</v>
      </c>
      <c r="BG15" s="372">
        <f t="shared" si="12"/>
        <v>0.96722497018109543</v>
      </c>
      <c r="BH15" s="372">
        <f t="shared" si="13"/>
        <v>0.95677546360043209</v>
      </c>
      <c r="BI15" s="372">
        <f t="shared" si="14"/>
        <v>0.97130472783787125</v>
      </c>
      <c r="BJ15" s="372">
        <f t="shared" si="15"/>
        <v>0.97041354804821223</v>
      </c>
      <c r="BK15" s="7"/>
      <c r="BL15" s="41">
        <f t="shared" si="16"/>
        <v>39172</v>
      </c>
      <c r="BM15" s="41">
        <f>$AE$135</f>
        <v>5070741.000000014</v>
      </c>
      <c r="BN15" s="15">
        <f t="shared" si="17"/>
        <v>0.96607216938916862</v>
      </c>
      <c r="BO15" s="41">
        <f t="shared" si="29"/>
        <v>5248822.1487698574</v>
      </c>
      <c r="BP15" s="41">
        <f t="shared" si="18"/>
        <v>178081.14876984339</v>
      </c>
      <c r="BQ15" s="73">
        <f t="shared" si="19"/>
        <v>133.99423437072033</v>
      </c>
      <c r="BR15" s="7"/>
      <c r="BS15" s="73">
        <f t="shared" si="20"/>
        <v>134.36733582748971</v>
      </c>
      <c r="BT15" s="73">
        <f t="shared" si="21"/>
        <v>133.99423437072033</v>
      </c>
      <c r="BU15" s="73">
        <f t="shared" si="22"/>
        <v>133.83453144300617</v>
      </c>
      <c r="BV15" s="73">
        <f t="shared" si="23"/>
        <v>135.29621693791947</v>
      </c>
      <c r="BW15" s="73">
        <f t="shared" si="24"/>
        <v>133.39477890072828</v>
      </c>
      <c r="BY15" s="41">
        <f>$AE$135</f>
        <v>5070741.000000014</v>
      </c>
      <c r="BZ15" s="41">
        <f>$AE$90</f>
        <v>0</v>
      </c>
      <c r="CA15" s="41">
        <f t="shared" si="28"/>
        <v>5070741.000000014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43781.30999999999</v>
      </c>
      <c r="D16" s="612">
        <v>12368.089999999997</v>
      </c>
      <c r="E16" s="612">
        <v>38984.449999999997</v>
      </c>
      <c r="F16" s="612">
        <v>21526.02</v>
      </c>
      <c r="G16" s="612">
        <v>6935.3399999999983</v>
      </c>
      <c r="H16" s="612">
        <v>28741.890000000014</v>
      </c>
      <c r="I16" s="612">
        <v>20223.810000000005</v>
      </c>
      <c r="J16" s="612">
        <v>28050.540000000005</v>
      </c>
      <c r="K16" s="612">
        <v>29333.230000000003</v>
      </c>
      <c r="L16" s="612">
        <v>36985.950000000012</v>
      </c>
      <c r="M16" s="612">
        <v>45862.49</v>
      </c>
      <c r="N16" s="612">
        <v>28121.08</v>
      </c>
      <c r="O16" s="612">
        <v>12727.11</v>
      </c>
      <c r="P16" s="612">
        <v>18835.110000000004</v>
      </c>
      <c r="Q16" s="612">
        <v>33990.810000000005</v>
      </c>
      <c r="R16" s="612">
        <v>27998.38</v>
      </c>
      <c r="S16" s="612">
        <v>25763.319999999996</v>
      </c>
      <c r="T16" s="612">
        <v>17254.399999999998</v>
      </c>
      <c r="U16" s="612">
        <v>18009.639999999996</v>
      </c>
      <c r="V16" s="612">
        <v>19149.060000000001</v>
      </c>
      <c r="W16" s="612">
        <v>14456.329999999998</v>
      </c>
      <c r="X16" s="612">
        <v>31347.700000000008</v>
      </c>
      <c r="Y16" s="612">
        <v>13085.02</v>
      </c>
      <c r="Z16" s="612">
        <v>26397.639999999989</v>
      </c>
      <c r="AA16" s="612">
        <v>26432.86</v>
      </c>
      <c r="AB16" s="612">
        <v>45240.48000000001</v>
      </c>
      <c r="AC16" s="612">
        <v>21076.190000000002</v>
      </c>
      <c r="AD16" s="612">
        <v>18846.36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39003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0.96925958162072556</v>
      </c>
      <c r="AX16" s="372">
        <f t="shared" si="5"/>
        <v>0.9713465065989646</v>
      </c>
      <c r="AY16" s="372">
        <f t="shared" si="6"/>
        <v>0.9722013057641864</v>
      </c>
      <c r="AZ16" s="372">
        <f t="shared" si="7"/>
        <v>0.96296588117227178</v>
      </c>
      <c r="BA16" s="372">
        <f t="shared" si="8"/>
        <v>0.97614238326391334</v>
      </c>
      <c r="BB16" s="372">
        <f t="shared" si="9"/>
        <v>0.9751594094397521</v>
      </c>
      <c r="BC16" s="373">
        <v>1</v>
      </c>
      <c r="BD16" s="373">
        <v>2</v>
      </c>
      <c r="BE16" s="372">
        <f t="shared" si="10"/>
        <v>0.96925958162072556</v>
      </c>
      <c r="BF16" s="372">
        <f t="shared" si="11"/>
        <v>0.97134650659896438</v>
      </c>
      <c r="BG16" s="372">
        <f t="shared" si="12"/>
        <v>0.97220130576418651</v>
      </c>
      <c r="BH16" s="372">
        <f t="shared" si="13"/>
        <v>0.96296588117227189</v>
      </c>
      <c r="BI16" s="372">
        <f t="shared" si="14"/>
        <v>0.97614238326391334</v>
      </c>
      <c r="BJ16" s="372">
        <f t="shared" si="15"/>
        <v>0.97515940943975221</v>
      </c>
      <c r="BK16" s="7"/>
      <c r="BL16" s="41">
        <f t="shared" si="16"/>
        <v>39003</v>
      </c>
      <c r="BM16" s="41">
        <f>$AD$135</f>
        <v>4661068.5199999847</v>
      </c>
      <c r="BN16" s="15">
        <f t="shared" si="17"/>
        <v>0.9713465065989646</v>
      </c>
      <c r="BO16" s="41">
        <f t="shared" si="29"/>
        <v>4798564.1460945504</v>
      </c>
      <c r="BP16" s="41">
        <f t="shared" si="18"/>
        <v>137495.62609456573</v>
      </c>
      <c r="BQ16" s="73">
        <f t="shared" si="19"/>
        <v>123.03064241454632</v>
      </c>
      <c r="BR16" s="7"/>
      <c r="BS16" s="73">
        <f t="shared" si="20"/>
        <v>123.2955412358862</v>
      </c>
      <c r="BT16" s="73">
        <f t="shared" si="21"/>
        <v>123.03064241454632</v>
      </c>
      <c r="BU16" s="73">
        <f t="shared" si="22"/>
        <v>122.92246883999017</v>
      </c>
      <c r="BV16" s="73">
        <f t="shared" si="23"/>
        <v>124.10136958177108</v>
      </c>
      <c r="BW16" s="73">
        <f t="shared" si="24"/>
        <v>122.54958887455551</v>
      </c>
      <c r="BY16" s="41">
        <f>$AD$135</f>
        <v>4661068.5199999847</v>
      </c>
      <c r="BZ16" s="41">
        <f>$AD$90</f>
        <v>0</v>
      </c>
      <c r="CA16" s="41">
        <f t="shared" si="28"/>
        <v>4661068.5199999847</v>
      </c>
    </row>
    <row r="17" spans="1:79" x14ac:dyDescent="0.2">
      <c r="A17" s="568" t="s">
        <v>987</v>
      </c>
      <c r="B17" s="6"/>
      <c r="C17" s="612">
        <v>39472.780000000006</v>
      </c>
      <c r="D17" s="612">
        <v>19105.639999999996</v>
      </c>
      <c r="E17" s="612">
        <v>11281.51</v>
      </c>
      <c r="F17" s="612">
        <v>4123.079999999999</v>
      </c>
      <c r="G17" s="612">
        <v>8994.0000000000018</v>
      </c>
      <c r="H17" s="612">
        <v>14170.66</v>
      </c>
      <c r="I17" s="612">
        <v>61775.850000000013</v>
      </c>
      <c r="J17" s="612">
        <v>19071.910000000007</v>
      </c>
      <c r="K17" s="612">
        <v>44957.5</v>
      </c>
      <c r="L17" s="612">
        <v>19200.04</v>
      </c>
      <c r="M17" s="612">
        <v>16472.689999999995</v>
      </c>
      <c r="N17" s="612">
        <v>6723.9</v>
      </c>
      <c r="O17" s="612">
        <v>12633.760000000002</v>
      </c>
      <c r="P17" s="612">
        <v>19774.34</v>
      </c>
      <c r="Q17" s="612">
        <v>25174.190000000002</v>
      </c>
      <c r="R17" s="612">
        <v>14559.220000000003</v>
      </c>
      <c r="S17" s="612">
        <v>14520.230000000007</v>
      </c>
      <c r="T17" s="612">
        <v>5692.1100000000024</v>
      </c>
      <c r="U17" s="612">
        <v>18097.319999999996</v>
      </c>
      <c r="V17" s="612">
        <v>13039.99</v>
      </c>
      <c r="W17" s="612">
        <v>22389.910000000003</v>
      </c>
      <c r="X17" s="612">
        <v>9396.5499999999993</v>
      </c>
      <c r="Y17" s="612">
        <v>16483.96</v>
      </c>
      <c r="Z17" s="612">
        <v>21043.129999999994</v>
      </c>
      <c r="AA17" s="612">
        <v>26994.069999999996</v>
      </c>
      <c r="AB17" s="612">
        <v>19219.529999999995</v>
      </c>
      <c r="AC17" s="612">
        <v>34768.660000000003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38909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0.97492486163866798</v>
      </c>
      <c r="AX17" s="372">
        <f t="shared" si="5"/>
        <v>0.97585716712579107</v>
      </c>
      <c r="AY17" s="372">
        <f t="shared" si="6"/>
        <v>0.97611358624165678</v>
      </c>
      <c r="AZ17" s="372">
        <f t="shared" si="7"/>
        <v>0.96781139785063397</v>
      </c>
      <c r="BA17" s="372">
        <f t="shared" si="8"/>
        <v>0.98062372168353806</v>
      </c>
      <c r="BB17" s="372">
        <f t="shared" si="9"/>
        <v>0.97903304048193573</v>
      </c>
      <c r="BC17" s="373">
        <v>1</v>
      </c>
      <c r="BD17" s="373">
        <v>2</v>
      </c>
      <c r="BE17" s="372">
        <f t="shared" si="10"/>
        <v>0.97492486163866798</v>
      </c>
      <c r="BF17" s="372">
        <f t="shared" si="11"/>
        <v>0.97585716712579085</v>
      </c>
      <c r="BG17" s="372">
        <f t="shared" si="12"/>
        <v>0.97611358624165689</v>
      </c>
      <c r="BH17" s="372">
        <f t="shared" si="13"/>
        <v>0.96781139785063408</v>
      </c>
      <c r="BI17" s="372">
        <f t="shared" si="14"/>
        <v>0.98062372168353806</v>
      </c>
      <c r="BJ17" s="372">
        <f t="shared" si="15"/>
        <v>0.97903304048193585</v>
      </c>
      <c r="BK17" s="7"/>
      <c r="BL17" s="41">
        <f t="shared" si="16"/>
        <v>38909</v>
      </c>
      <c r="BM17" s="41">
        <f>$AC$135</f>
        <v>4804281.4399999911</v>
      </c>
      <c r="BN17" s="15">
        <f t="shared" si="17"/>
        <v>0.97585716712579107</v>
      </c>
      <c r="BO17" s="41">
        <f t="shared" si="29"/>
        <v>4923139.9858958088</v>
      </c>
      <c r="BP17" s="41">
        <f t="shared" si="18"/>
        <v>118858.54589581769</v>
      </c>
      <c r="BQ17" s="73">
        <f t="shared" si="19"/>
        <v>126.52959433282297</v>
      </c>
      <c r="BR17" s="7"/>
      <c r="BS17" s="73">
        <f t="shared" si="20"/>
        <v>126.65059261661038</v>
      </c>
      <c r="BT17" s="73">
        <f t="shared" si="21"/>
        <v>126.52959433282297</v>
      </c>
      <c r="BU17" s="73">
        <f t="shared" si="22"/>
        <v>126.49635577619699</v>
      </c>
      <c r="BV17" s="73">
        <f t="shared" si="23"/>
        <v>127.58148101729682</v>
      </c>
      <c r="BW17" s="73">
        <f t="shared" si="24"/>
        <v>126.11914652280053</v>
      </c>
      <c r="BY17" s="41">
        <f>$AC$135</f>
        <v>4804281.4399999911</v>
      </c>
      <c r="BZ17" s="41">
        <f>$AC$90</f>
        <v>0</v>
      </c>
      <c r="CA17" s="41">
        <f t="shared" si="28"/>
        <v>4804281.4399999911</v>
      </c>
    </row>
    <row r="18" spans="1:79" x14ac:dyDescent="0.2">
      <c r="A18" s="568" t="s">
        <v>988</v>
      </c>
      <c r="B18" s="6"/>
      <c r="C18" s="612">
        <v>8895.67</v>
      </c>
      <c r="D18" s="612">
        <v>9403.3200000000015</v>
      </c>
      <c r="E18" s="612">
        <v>2920.2299999999996</v>
      </c>
      <c r="F18" s="612">
        <v>4939.0999999999995</v>
      </c>
      <c r="G18" s="612">
        <v>10781.259999999998</v>
      </c>
      <c r="H18" s="612">
        <v>30039.850000000006</v>
      </c>
      <c r="I18" s="612">
        <v>13475.929999999998</v>
      </c>
      <c r="J18" s="612">
        <v>13948.520000000004</v>
      </c>
      <c r="K18" s="612">
        <v>27011.260000000002</v>
      </c>
      <c r="L18" s="612">
        <v>12708.76</v>
      </c>
      <c r="M18" s="612">
        <v>4879.87</v>
      </c>
      <c r="N18" s="612">
        <v>10697.61</v>
      </c>
      <c r="O18" s="612">
        <v>13742.27</v>
      </c>
      <c r="P18" s="612">
        <v>22750.080000000002</v>
      </c>
      <c r="Q18" s="612">
        <v>25970.750000000004</v>
      </c>
      <c r="R18" s="612">
        <v>5271.35</v>
      </c>
      <c r="S18" s="612">
        <v>4562.78</v>
      </c>
      <c r="T18" s="612">
        <v>15436.55</v>
      </c>
      <c r="U18" s="612">
        <v>28707.050000000003</v>
      </c>
      <c r="V18" s="612">
        <v>18965.659999999996</v>
      </c>
      <c r="W18" s="612">
        <v>11168.390000000003</v>
      </c>
      <c r="X18" s="612">
        <v>19407.45</v>
      </c>
      <c r="Y18" s="612">
        <v>19501.349999999999</v>
      </c>
      <c r="Z18" s="612">
        <v>13574.059999999998</v>
      </c>
      <c r="AA18" s="612">
        <v>14361.070000000005</v>
      </c>
      <c r="AB18" s="612">
        <v>28915.619999999992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38658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0.97887537519770107</v>
      </c>
      <c r="AX18" s="372">
        <f t="shared" si="5"/>
        <v>0.97973430552468965</v>
      </c>
      <c r="AY18" s="372">
        <f t="shared" si="6"/>
        <v>0.9799161262525885</v>
      </c>
      <c r="AZ18" s="372">
        <f t="shared" si="7"/>
        <v>0.9713970326111252</v>
      </c>
      <c r="BA18" s="372">
        <f t="shared" si="8"/>
        <v>0.98432301657628529</v>
      </c>
      <c r="BB18" s="372">
        <f t="shared" si="9"/>
        <v>0.98288802332264402</v>
      </c>
      <c r="BC18" s="373">
        <v>1</v>
      </c>
      <c r="BD18" s="373">
        <v>2</v>
      </c>
      <c r="BE18" s="372">
        <f t="shared" si="10"/>
        <v>0.97887537519770107</v>
      </c>
      <c r="BF18" s="372">
        <f t="shared" si="11"/>
        <v>0.97973430552468943</v>
      </c>
      <c r="BG18" s="372">
        <f t="shared" si="12"/>
        <v>0.97991612625258862</v>
      </c>
      <c r="BH18" s="372">
        <f t="shared" si="13"/>
        <v>0.97167179869733655</v>
      </c>
      <c r="BI18" s="372">
        <f t="shared" si="14"/>
        <v>0.98432301657628529</v>
      </c>
      <c r="BJ18" s="372">
        <f t="shared" si="15"/>
        <v>0.98288802332264413</v>
      </c>
      <c r="BK18" s="7"/>
      <c r="BL18" s="41">
        <f t="shared" si="16"/>
        <v>38658</v>
      </c>
      <c r="BM18" s="41">
        <f>$AB$135</f>
        <v>4709219.6099999994</v>
      </c>
      <c r="BN18" s="15">
        <f t="shared" si="17"/>
        <v>0.97973430552468965</v>
      </c>
      <c r="BO18" s="41">
        <f t="shared" si="29"/>
        <v>4806629.2906606048</v>
      </c>
      <c r="BP18" s="41">
        <f t="shared" si="18"/>
        <v>97409.680660605431</v>
      </c>
      <c r="BQ18" s="73">
        <f t="shared" si="19"/>
        <v>124.33724690001047</v>
      </c>
      <c r="BR18" s="7"/>
      <c r="BS18" s="73">
        <f t="shared" si="20"/>
        <v>124.44634866601938</v>
      </c>
      <c r="BT18" s="73">
        <f t="shared" si="21"/>
        <v>124.33724690001047</v>
      </c>
      <c r="BU18" s="73">
        <f t="shared" si="22"/>
        <v>124.3141764676228</v>
      </c>
      <c r="BV18" s="73">
        <f t="shared" si="23"/>
        <v>125.40440432990313</v>
      </c>
      <c r="BW18" s="73">
        <f t="shared" si="24"/>
        <v>123.93829546384217</v>
      </c>
      <c r="BY18" s="41">
        <f>$AB$135</f>
        <v>4709219.6099999994</v>
      </c>
      <c r="BZ18" s="41">
        <f>$AB$90</f>
        <v>0</v>
      </c>
      <c r="CA18" s="41">
        <f t="shared" si="28"/>
        <v>4709219.6099999994</v>
      </c>
    </row>
    <row r="19" spans="1:79" x14ac:dyDescent="0.2">
      <c r="A19" s="568" t="s">
        <v>989</v>
      </c>
      <c r="B19" s="6"/>
      <c r="C19" s="612">
        <v>11252.31</v>
      </c>
      <c r="D19" s="612">
        <v>6336.65</v>
      </c>
      <c r="E19" s="612">
        <v>3295.63</v>
      </c>
      <c r="F19" s="612">
        <v>5969.7500000000009</v>
      </c>
      <c r="G19" s="612">
        <v>50084.69999999999</v>
      </c>
      <c r="H19" s="612">
        <v>6847.9900000000016</v>
      </c>
      <c r="I19" s="612">
        <v>21761.280000000002</v>
      </c>
      <c r="J19" s="612">
        <v>13829.389999999998</v>
      </c>
      <c r="K19" s="612">
        <v>19217.739999999994</v>
      </c>
      <c r="L19" s="612">
        <v>9620.2900000000027</v>
      </c>
      <c r="M19" s="612">
        <v>8058.8600000000006</v>
      </c>
      <c r="N19" s="612">
        <v>20439.580000000002</v>
      </c>
      <c r="O19" s="612">
        <v>12053.140000000003</v>
      </c>
      <c r="P19" s="612">
        <v>17699.89</v>
      </c>
      <c r="Q19" s="612">
        <v>2082.83</v>
      </c>
      <c r="R19" s="612">
        <v>4870.0900000000011</v>
      </c>
      <c r="S19" s="612">
        <v>20944.61</v>
      </c>
      <c r="T19" s="612">
        <v>12698.53</v>
      </c>
      <c r="U19" s="612">
        <v>15961.320000000002</v>
      </c>
      <c r="V19" s="612">
        <v>11752.339999999998</v>
      </c>
      <c r="W19" s="612">
        <v>14727.560000000001</v>
      </c>
      <c r="X19" s="612">
        <v>22319.21</v>
      </c>
      <c r="Y19" s="612">
        <v>11188.879999999997</v>
      </c>
      <c r="Z19" s="612">
        <v>12190.510000000004</v>
      </c>
      <c r="AA19" s="612">
        <v>14483.329999999998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38271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0.98158407497498024</v>
      </c>
      <c r="AX19" s="372">
        <f t="shared" si="5"/>
        <v>0.98294217199668188</v>
      </c>
      <c r="AY19" s="372">
        <f t="shared" si="6"/>
        <v>0.98292117696525372</v>
      </c>
      <c r="AZ19" s="372">
        <f t="shared" si="7"/>
        <v>0.97477468765721198</v>
      </c>
      <c r="BA19" s="372">
        <f t="shared" si="8"/>
        <v>0.98726355102889563</v>
      </c>
      <c r="BB19" s="372">
        <f t="shared" si="9"/>
        <v>0.9859409689318529</v>
      </c>
      <c r="BC19" s="373">
        <v>1</v>
      </c>
      <c r="BD19" s="373">
        <v>2</v>
      </c>
      <c r="BE19" s="372">
        <f t="shared" si="10"/>
        <v>0.98158407497498024</v>
      </c>
      <c r="BF19" s="372">
        <f t="shared" si="11"/>
        <v>0.98294217199668166</v>
      </c>
      <c r="BG19" s="372">
        <f t="shared" si="12"/>
        <v>0.98292117696525383</v>
      </c>
      <c r="BH19" s="372">
        <f t="shared" si="13"/>
        <v>0.97527173581828364</v>
      </c>
      <c r="BI19" s="372">
        <f t="shared" si="14"/>
        <v>0.98726355102889563</v>
      </c>
      <c r="BJ19" s="372">
        <f t="shared" si="15"/>
        <v>0.98594096893185301</v>
      </c>
      <c r="BK19" s="7"/>
      <c r="BL19" s="41">
        <f t="shared" si="16"/>
        <v>38271</v>
      </c>
      <c r="BM19" s="41">
        <f>$AA$135</f>
        <v>4461740.7500000009</v>
      </c>
      <c r="BN19" s="15">
        <f t="shared" si="17"/>
        <v>0.98294217199668188</v>
      </c>
      <c r="BO19" s="41">
        <f t="shared" si="29"/>
        <v>4539169.1160597214</v>
      </c>
      <c r="BP19" s="41">
        <f t="shared" si="18"/>
        <v>77428.366059720516</v>
      </c>
      <c r="BQ19" s="73">
        <f t="shared" si="19"/>
        <v>118.60597099787624</v>
      </c>
      <c r="BR19" s="7"/>
      <c r="BS19" s="73">
        <f t="shared" si="20"/>
        <v>118.77007147594517</v>
      </c>
      <c r="BT19" s="73">
        <f t="shared" si="21"/>
        <v>118.60597099787624</v>
      </c>
      <c r="BU19" s="73">
        <f t="shared" si="22"/>
        <v>118.60850440151737</v>
      </c>
      <c r="BV19" s="73">
        <f t="shared" si="23"/>
        <v>119.59975184073028</v>
      </c>
      <c r="BW19" s="73">
        <f t="shared" si="24"/>
        <v>118.24522402262198</v>
      </c>
      <c r="BY19" s="41">
        <f>$AA$135</f>
        <v>4461740.7500000009</v>
      </c>
      <c r="BZ19" s="41">
        <f>$AA$90</f>
        <v>0</v>
      </c>
      <c r="CA19" s="41">
        <f t="shared" si="28"/>
        <v>4461740.7500000009</v>
      </c>
    </row>
    <row r="20" spans="1:79" x14ac:dyDescent="0.2">
      <c r="A20" s="568" t="s">
        <v>990</v>
      </c>
      <c r="B20" s="6"/>
      <c r="C20" s="612">
        <v>3268.9300000000003</v>
      </c>
      <c r="D20" s="612">
        <v>6336.48</v>
      </c>
      <c r="E20" s="612">
        <v>15587.97</v>
      </c>
      <c r="F20" s="612">
        <v>23243.149999999998</v>
      </c>
      <c r="G20" s="612">
        <v>11820.44</v>
      </c>
      <c r="H20" s="612">
        <v>42603.600000000006</v>
      </c>
      <c r="I20" s="612">
        <v>19051.560000000009</v>
      </c>
      <c r="J20" s="612">
        <v>9171.630000000001</v>
      </c>
      <c r="K20" s="612">
        <v>13513.050000000001</v>
      </c>
      <c r="L20" s="612">
        <v>17459.53</v>
      </c>
      <c r="M20" s="612">
        <v>11877.829999999998</v>
      </c>
      <c r="N20" s="612">
        <v>4254.8500000000004</v>
      </c>
      <c r="O20" s="612">
        <v>18926.7</v>
      </c>
      <c r="P20" s="612">
        <v>4064.5599999999995</v>
      </c>
      <c r="Q20" s="612">
        <v>2410.71</v>
      </c>
      <c r="R20" s="612">
        <v>7580.16</v>
      </c>
      <c r="S20" s="612">
        <v>7367.7799999999988</v>
      </c>
      <c r="T20" s="612">
        <v>15775.129999999997</v>
      </c>
      <c r="U20" s="612">
        <v>9449.4499999999989</v>
      </c>
      <c r="V20" s="612">
        <v>15228.46</v>
      </c>
      <c r="W20" s="612">
        <v>10162.01</v>
      </c>
      <c r="X20" s="612">
        <v>7641.1900000000014</v>
      </c>
      <c r="Y20" s="612">
        <v>12953.27</v>
      </c>
      <c r="Z20" s="612">
        <v>14533.269999999997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37869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0.98413753124115677</v>
      </c>
      <c r="AX20" s="372">
        <f t="shared" si="5"/>
        <v>0.98549633677704296</v>
      </c>
      <c r="AY20" s="372">
        <f t="shared" si="6"/>
        <v>0.9853092274446732</v>
      </c>
      <c r="AZ20" s="372">
        <f t="shared" si="7"/>
        <v>0.97815849908526553</v>
      </c>
      <c r="BA20" s="372">
        <f t="shared" si="8"/>
        <v>0.98983122285204694</v>
      </c>
      <c r="BB20" s="372">
        <f t="shared" si="9"/>
        <v>0.98827752641923328</v>
      </c>
      <c r="BC20" s="373">
        <v>1</v>
      </c>
      <c r="BD20" s="373">
        <v>2</v>
      </c>
      <c r="BE20" s="372">
        <f t="shared" si="10"/>
        <v>0.98420896315566309</v>
      </c>
      <c r="BF20" s="372">
        <f t="shared" si="11"/>
        <v>0.98549633677704274</v>
      </c>
      <c r="BG20" s="372">
        <f t="shared" si="12"/>
        <v>0.98530922744467331</v>
      </c>
      <c r="BH20" s="372">
        <f t="shared" si="13"/>
        <v>0.9787905471005367</v>
      </c>
      <c r="BI20" s="372">
        <f t="shared" si="14"/>
        <v>0.98988387816961221</v>
      </c>
      <c r="BJ20" s="372">
        <f t="shared" si="15"/>
        <v>0.98827752641923339</v>
      </c>
      <c r="BK20" s="7"/>
      <c r="BL20" s="41">
        <f t="shared" si="16"/>
        <v>37869</v>
      </c>
      <c r="BM20" s="41">
        <f>$Z$135</f>
        <v>4984576.0699999863</v>
      </c>
      <c r="BN20" s="15">
        <f t="shared" si="17"/>
        <v>0.98549633677704296</v>
      </c>
      <c r="BO20" s="41">
        <f t="shared" si="29"/>
        <v>5057934.6507786037</v>
      </c>
      <c r="BP20" s="41">
        <f t="shared" si="18"/>
        <v>73358.580778617412</v>
      </c>
      <c r="BQ20" s="73">
        <f t="shared" si="19"/>
        <v>133.5639877149807</v>
      </c>
      <c r="BR20" s="7"/>
      <c r="BS20" s="73">
        <f t="shared" si="20"/>
        <v>133.748400442004</v>
      </c>
      <c r="BT20" s="73">
        <f t="shared" si="21"/>
        <v>133.5639877149807</v>
      </c>
      <c r="BU20" s="73">
        <f t="shared" si="22"/>
        <v>133.58935139561405</v>
      </c>
      <c r="BV20" s="73">
        <f t="shared" si="23"/>
        <v>134.56594278078609</v>
      </c>
      <c r="BW20" s="73">
        <f t="shared" si="24"/>
        <v>133.18811477517153</v>
      </c>
      <c r="BY20" s="41">
        <f>$Z$135</f>
        <v>4984576.0699999863</v>
      </c>
      <c r="BZ20" s="41">
        <f>$Z$90</f>
        <v>0</v>
      </c>
      <c r="CA20" s="41">
        <f t="shared" si="28"/>
        <v>4984576.0699999863</v>
      </c>
    </row>
    <row r="21" spans="1:79" x14ac:dyDescent="0.2">
      <c r="A21" s="568" t="s">
        <v>991</v>
      </c>
      <c r="B21" s="6"/>
      <c r="C21" s="612">
        <v>6294.8899999999994</v>
      </c>
      <c r="D21" s="612">
        <v>11168.960000000001</v>
      </c>
      <c r="E21" s="612">
        <v>59126.539999999994</v>
      </c>
      <c r="F21" s="612">
        <v>6957.96</v>
      </c>
      <c r="G21" s="612">
        <v>24751.42</v>
      </c>
      <c r="H21" s="612">
        <v>44099.85</v>
      </c>
      <c r="I21" s="612">
        <v>9036.3499999999985</v>
      </c>
      <c r="J21" s="612">
        <v>5311.369999999999</v>
      </c>
      <c r="K21" s="612">
        <v>20562.139999999996</v>
      </c>
      <c r="L21" s="612">
        <v>41222.170000000006</v>
      </c>
      <c r="M21" s="612">
        <v>15210.000000000002</v>
      </c>
      <c r="N21" s="612">
        <v>15214.49</v>
      </c>
      <c r="O21" s="612">
        <v>1578.7900000000002</v>
      </c>
      <c r="P21" s="612">
        <v>724.05000000000007</v>
      </c>
      <c r="Q21" s="612">
        <v>2026.5399999999997</v>
      </c>
      <c r="R21" s="612">
        <v>13979.130000000001</v>
      </c>
      <c r="S21" s="612">
        <v>10732.5</v>
      </c>
      <c r="T21" s="612">
        <v>1977.4800000000002</v>
      </c>
      <c r="U21" s="612">
        <v>15484.03</v>
      </c>
      <c r="V21" s="612">
        <v>11292.240000000002</v>
      </c>
      <c r="W21" s="612">
        <v>12597.85</v>
      </c>
      <c r="X21" s="612">
        <v>10051.619999999999</v>
      </c>
      <c r="Y21" s="612">
        <v>12158.550000000001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37591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0.98676924770822272</v>
      </c>
      <c r="AX21" s="372">
        <f t="shared" si="5"/>
        <v>0.98786433623630543</v>
      </c>
      <c r="AY21" s="372">
        <f t="shared" si="6"/>
        <v>0.98743829568568109</v>
      </c>
      <c r="AZ21" s="372">
        <f t="shared" si="7"/>
        <v>0.98206017239316845</v>
      </c>
      <c r="BA21" s="372">
        <f t="shared" si="8"/>
        <v>0.99245836493104378</v>
      </c>
      <c r="BB21" s="372">
        <f t="shared" si="9"/>
        <v>0.99037357624809863</v>
      </c>
      <c r="BC21" s="373">
        <v>1</v>
      </c>
      <c r="BD21" s="373">
        <v>2</v>
      </c>
      <c r="BE21" s="372">
        <f t="shared" si="10"/>
        <v>0.98681576707912055</v>
      </c>
      <c r="BF21" s="372">
        <f t="shared" si="11"/>
        <v>0.98786433623630521</v>
      </c>
      <c r="BG21" s="372">
        <f t="shared" si="12"/>
        <v>0.98760383892803305</v>
      </c>
      <c r="BH21" s="372">
        <f t="shared" si="13"/>
        <v>0.98219391021519398</v>
      </c>
      <c r="BI21" s="372">
        <f t="shared" si="14"/>
        <v>0.99245836493104378</v>
      </c>
      <c r="BJ21" s="372">
        <f t="shared" si="15"/>
        <v>0.99037751532586782</v>
      </c>
      <c r="BK21" s="7"/>
      <c r="BL21" s="41">
        <f t="shared" si="16"/>
        <v>37591</v>
      </c>
      <c r="BM21" s="41">
        <f>$Y$135</f>
        <v>4362488.2299999902</v>
      </c>
      <c r="BN21" s="15">
        <f t="shared" si="17"/>
        <v>0.98786433623630543</v>
      </c>
      <c r="BO21" s="41">
        <f t="shared" si="29"/>
        <v>4416080.295621125</v>
      </c>
      <c r="BP21" s="41">
        <f t="shared" si="18"/>
        <v>53592.065621134825</v>
      </c>
      <c r="BQ21" s="73">
        <f t="shared" si="19"/>
        <v>117.47706354236719</v>
      </c>
      <c r="BR21" s="7"/>
      <c r="BS21" s="73">
        <f t="shared" si="20"/>
        <v>117.60743625604557</v>
      </c>
      <c r="BT21" s="73">
        <f t="shared" si="21"/>
        <v>117.47706354236719</v>
      </c>
      <c r="BU21" s="73">
        <f t="shared" si="22"/>
        <v>117.52775024659569</v>
      </c>
      <c r="BV21" s="73">
        <f t="shared" si="23"/>
        <v>118.17137550387247</v>
      </c>
      <c r="BW21" s="73">
        <f t="shared" si="24"/>
        <v>117.17942015266246</v>
      </c>
      <c r="BY21" s="41">
        <f>$Y$135</f>
        <v>4362488.2299999902</v>
      </c>
      <c r="BZ21" s="41">
        <f>$Y$90</f>
        <v>0</v>
      </c>
      <c r="CA21" s="41">
        <f t="shared" si="28"/>
        <v>4362488.2299999902</v>
      </c>
    </row>
    <row r="22" spans="1:79" x14ac:dyDescent="0.2">
      <c r="A22" s="568" t="s">
        <v>992</v>
      </c>
      <c r="B22" s="6"/>
      <c r="C22" s="612">
        <v>7777.39</v>
      </c>
      <c r="D22" s="612">
        <v>48899.97</v>
      </c>
      <c r="E22" s="612">
        <v>4278.369999999999</v>
      </c>
      <c r="F22" s="612">
        <v>35005.589999999997</v>
      </c>
      <c r="G22" s="612">
        <v>47072.590000000004</v>
      </c>
      <c r="H22" s="612">
        <v>2278.4700000000003</v>
      </c>
      <c r="I22" s="612">
        <v>1205.3200000000002</v>
      </c>
      <c r="J22" s="612">
        <v>10142.18</v>
      </c>
      <c r="K22" s="612">
        <v>15351.199999999999</v>
      </c>
      <c r="L22" s="612">
        <v>11454.650000000003</v>
      </c>
      <c r="M22" s="612">
        <v>17859.16</v>
      </c>
      <c r="N22" s="612">
        <v>2279.08</v>
      </c>
      <c r="O22" s="612">
        <v>10634.67</v>
      </c>
      <c r="P22" s="612">
        <v>2078.48</v>
      </c>
      <c r="Q22" s="612">
        <v>26906.44</v>
      </c>
      <c r="R22" s="612">
        <v>661.97</v>
      </c>
      <c r="S22" s="612">
        <v>1714.7600000000002</v>
      </c>
      <c r="T22" s="612">
        <v>4629.37</v>
      </c>
      <c r="U22" s="612">
        <v>23119.040000000001</v>
      </c>
      <c r="V22" s="612">
        <v>10204.549999999999</v>
      </c>
      <c r="W22" s="612">
        <v>3095.31</v>
      </c>
      <c r="X22" s="612">
        <v>13298.269999999999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37539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0.98878745420890346</v>
      </c>
      <c r="AX22" s="372">
        <f t="shared" si="5"/>
        <v>0.98992918937245789</v>
      </c>
      <c r="AY22" s="372">
        <f t="shared" si="6"/>
        <v>0.98973786539362518</v>
      </c>
      <c r="AZ22" s="372">
        <f t="shared" si="7"/>
        <v>0.98560347656938252</v>
      </c>
      <c r="BA22" s="372">
        <f t="shared" si="8"/>
        <v>0.99423884391906237</v>
      </c>
      <c r="BB22" s="372">
        <f t="shared" si="9"/>
        <v>0.99247801904675303</v>
      </c>
      <c r="BC22" s="373">
        <v>1</v>
      </c>
      <c r="BD22" s="373">
        <v>2</v>
      </c>
      <c r="BE22" s="372">
        <f t="shared" si="10"/>
        <v>0.9893828328743498</v>
      </c>
      <c r="BF22" s="372">
        <f t="shared" si="11"/>
        <v>0.98992918937245766</v>
      </c>
      <c r="BG22" s="372">
        <f t="shared" si="12"/>
        <v>0.98973786539362529</v>
      </c>
      <c r="BH22" s="372">
        <f t="shared" si="13"/>
        <v>0.98560347656938263</v>
      </c>
      <c r="BI22" s="372">
        <f t="shared" si="14"/>
        <v>0.99423884391906237</v>
      </c>
      <c r="BJ22" s="372">
        <f t="shared" si="15"/>
        <v>0.99247801904675303</v>
      </c>
      <c r="BK22" s="7"/>
      <c r="BL22" s="41">
        <f t="shared" si="16"/>
        <v>37539</v>
      </c>
      <c r="BM22" s="41">
        <f>$X$135</f>
        <v>4311182.3399999924</v>
      </c>
      <c r="BN22" s="15">
        <f t="shared" si="17"/>
        <v>0.98992918937245789</v>
      </c>
      <c r="BO22" s="41">
        <f t="shared" si="29"/>
        <v>4355041.134541112</v>
      </c>
      <c r="BP22" s="41">
        <f t="shared" si="18"/>
        <v>43858.794541119598</v>
      </c>
      <c r="BQ22" s="73">
        <f t="shared" si="19"/>
        <v>116.01377592746509</v>
      </c>
      <c r="BR22" s="7"/>
      <c r="BS22" s="73">
        <f t="shared" si="20"/>
        <v>116.14773495664704</v>
      </c>
      <c r="BT22" s="73">
        <f t="shared" si="21"/>
        <v>116.01377592746509</v>
      </c>
      <c r="BU22" s="73">
        <f t="shared" si="22"/>
        <v>116.03620228699518</v>
      </c>
      <c r="BV22" s="73">
        <f t="shared" si="23"/>
        <v>116.52294851846419</v>
      </c>
      <c r="BW22" s="73">
        <f t="shared" si="24"/>
        <v>115.71583547031021</v>
      </c>
      <c r="BY22" s="41">
        <f>$X$135</f>
        <v>4311182.3399999924</v>
      </c>
      <c r="BZ22" s="41">
        <f>$X$90</f>
        <v>0</v>
      </c>
      <c r="CA22" s="41">
        <f t="shared" si="28"/>
        <v>4311182.3399999924</v>
      </c>
    </row>
    <row r="23" spans="1:79" x14ac:dyDescent="0.2">
      <c r="A23" s="568" t="s">
        <v>993</v>
      </c>
      <c r="B23" s="6"/>
      <c r="C23" s="612">
        <v>20833.170000000002</v>
      </c>
      <c r="D23" s="612">
        <v>3827.69</v>
      </c>
      <c r="E23" s="612">
        <v>34365.949999999997</v>
      </c>
      <c r="F23" s="612">
        <v>14817.7</v>
      </c>
      <c r="G23" s="612">
        <v>1134.4100000000001</v>
      </c>
      <c r="H23" s="612">
        <v>3395.1400000000003</v>
      </c>
      <c r="I23" s="612">
        <v>7097.6</v>
      </c>
      <c r="J23" s="612">
        <v>21358.07</v>
      </c>
      <c r="K23" s="612">
        <v>1710.17</v>
      </c>
      <c r="L23" s="612">
        <v>3322.6200000000003</v>
      </c>
      <c r="M23" s="612">
        <v>16582.34</v>
      </c>
      <c r="N23" s="612">
        <v>1116.3600000000001</v>
      </c>
      <c r="O23" s="612">
        <v>3142.97</v>
      </c>
      <c r="P23" s="612">
        <v>3193.3099999999995</v>
      </c>
      <c r="Q23" s="612">
        <v>6401.13</v>
      </c>
      <c r="R23" s="612">
        <v>872.72</v>
      </c>
      <c r="S23" s="612">
        <v>4841.45</v>
      </c>
      <c r="T23" s="612">
        <v>16563.28</v>
      </c>
      <c r="U23" s="612">
        <v>5418.119999999999</v>
      </c>
      <c r="V23" s="612">
        <v>565.95000000000005</v>
      </c>
      <c r="W23" s="612">
        <v>7561.64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36964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0.98978244908519208</v>
      </c>
      <c r="AX23" s="372">
        <f t="shared" si="5"/>
        <v>0.9912511434960084</v>
      </c>
      <c r="AY23" s="372">
        <f t="shared" si="6"/>
        <v>0.99113333695924399</v>
      </c>
      <c r="AZ23" s="372">
        <f t="shared" si="7"/>
        <v>0.98780580667592977</v>
      </c>
      <c r="BA23" s="372">
        <f t="shared" si="8"/>
        <v>0.99527530196400005</v>
      </c>
      <c r="BB23" s="372">
        <f t="shared" si="9"/>
        <v>0.99369206667138454</v>
      </c>
      <c r="BC23" s="373">
        <v>1</v>
      </c>
      <c r="BD23" s="373">
        <v>2</v>
      </c>
      <c r="BE23" s="372">
        <f t="shared" si="10"/>
        <v>0.9914063848543152</v>
      </c>
      <c r="BF23" s="372">
        <f t="shared" si="11"/>
        <v>0.99153481530236143</v>
      </c>
      <c r="BG23" s="372">
        <f t="shared" si="12"/>
        <v>0.9911333369592441</v>
      </c>
      <c r="BH23" s="372">
        <f t="shared" si="13"/>
        <v>0.98780580667592988</v>
      </c>
      <c r="BI23" s="372">
        <f t="shared" si="14"/>
        <v>0.99527530196400005</v>
      </c>
      <c r="BJ23" s="372">
        <f t="shared" si="15"/>
        <v>0.99369206667138454</v>
      </c>
      <c r="BK23" s="7"/>
      <c r="BL23" s="41">
        <f t="shared" si="16"/>
        <v>36964</v>
      </c>
      <c r="BM23" s="41">
        <f>$W$135</f>
        <v>4392206.6300000092</v>
      </c>
      <c r="BN23" s="15">
        <f t="shared" si="17"/>
        <v>0.9912511434960084</v>
      </c>
      <c r="BO23" s="41">
        <f t="shared" si="29"/>
        <v>4430972.5732161999</v>
      </c>
      <c r="BP23" s="41">
        <f t="shared" si="18"/>
        <v>38765.943216190673</v>
      </c>
      <c r="BQ23" s="73">
        <f t="shared" si="19"/>
        <v>119.87264833936263</v>
      </c>
      <c r="BR23" s="7"/>
      <c r="BS23" s="73">
        <f t="shared" si="20"/>
        <v>120.05052206180385</v>
      </c>
      <c r="BT23" s="73">
        <f t="shared" si="21"/>
        <v>119.87264833936263</v>
      </c>
      <c r="BU23" s="73">
        <f t="shared" si="22"/>
        <v>119.88689645414904</v>
      </c>
      <c r="BV23" s="73">
        <f t="shared" si="23"/>
        <v>120.29074838114485</v>
      </c>
      <c r="BW23" s="73">
        <f t="shared" si="24"/>
        <v>119.57819099665141</v>
      </c>
      <c r="BY23" s="41">
        <f>$W$135</f>
        <v>4392206.6300000092</v>
      </c>
      <c r="BZ23" s="41">
        <f>$W$90</f>
        <v>0</v>
      </c>
      <c r="CA23" s="41">
        <f t="shared" si="28"/>
        <v>4392206.6300000092</v>
      </c>
    </row>
    <row r="24" spans="1:79" x14ac:dyDescent="0.2">
      <c r="A24" s="568" t="s">
        <v>994</v>
      </c>
      <c r="B24" s="6"/>
      <c r="C24" s="612">
        <v>8815.2599999999984</v>
      </c>
      <c r="D24" s="612">
        <v>15093.529999999997</v>
      </c>
      <c r="E24" s="612">
        <v>28572.720000000001</v>
      </c>
      <c r="F24" s="612">
        <v>871.5</v>
      </c>
      <c r="G24" s="612">
        <v>1392.37</v>
      </c>
      <c r="H24" s="612">
        <v>1228.19</v>
      </c>
      <c r="I24" s="612">
        <v>13418.929999999998</v>
      </c>
      <c r="J24" s="612">
        <v>2685.75</v>
      </c>
      <c r="K24" s="612">
        <v>841.43000000000006</v>
      </c>
      <c r="L24" s="612">
        <v>1669.37</v>
      </c>
      <c r="M24" s="612">
        <v>3991.52</v>
      </c>
      <c r="N24" s="612">
        <v>9114.43</v>
      </c>
      <c r="O24" s="612">
        <v>10371.470000000001</v>
      </c>
      <c r="P24" s="612">
        <v>8680</v>
      </c>
      <c r="Q24" s="612">
        <v>115.89</v>
      </c>
      <c r="R24" s="612">
        <v>6872.3099999999995</v>
      </c>
      <c r="S24" s="612">
        <v>4495.5700000000006</v>
      </c>
      <c r="T24" s="612">
        <v>1752.68</v>
      </c>
      <c r="U24" s="612">
        <v>1917.7999999999997</v>
      </c>
      <c r="V24" s="612">
        <v>332.08000000000004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36903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0.99007291304832212</v>
      </c>
      <c r="AX24" s="372">
        <f t="shared" si="5"/>
        <v>0.99189101806934477</v>
      </c>
      <c r="AY24" s="372">
        <f t="shared" si="6"/>
        <v>0.9921514239710294</v>
      </c>
      <c r="AZ24" s="372">
        <f t="shared" si="7"/>
        <v>0.98960267053481576</v>
      </c>
      <c r="BA24" s="372">
        <f t="shared" si="8"/>
        <v>0.99573917641696175</v>
      </c>
      <c r="BB24" s="372">
        <f t="shared" si="9"/>
        <v>0.99465124824347417</v>
      </c>
      <c r="BC24" s="373">
        <v>1</v>
      </c>
      <c r="BD24" s="373">
        <v>2</v>
      </c>
      <c r="BE24" s="372">
        <f t="shared" si="10"/>
        <v>0.99317520139782411</v>
      </c>
      <c r="BF24" s="372">
        <f t="shared" si="11"/>
        <v>0.99285891358313216</v>
      </c>
      <c r="BG24" s="372">
        <f t="shared" si="12"/>
        <v>0.9921578066798834</v>
      </c>
      <c r="BH24" s="372">
        <f t="shared" si="13"/>
        <v>0.98999249747045071</v>
      </c>
      <c r="BI24" s="372">
        <f t="shared" si="14"/>
        <v>0.99600806444302414</v>
      </c>
      <c r="BJ24" s="372">
        <f t="shared" si="15"/>
        <v>0.99465124824347417</v>
      </c>
      <c r="BK24" s="7"/>
      <c r="BL24" s="41">
        <f t="shared" si="16"/>
        <v>36903</v>
      </c>
      <c r="BM24" s="41">
        <f>$V$135</f>
        <v>4375399.0900000129</v>
      </c>
      <c r="BN24" s="15">
        <f t="shared" si="17"/>
        <v>0.99189101806934477</v>
      </c>
      <c r="BO24" s="41">
        <f t="shared" si="29"/>
        <v>4411169.1811832916</v>
      </c>
      <c r="BP24" s="41">
        <f t="shared" si="18"/>
        <v>35770.09118327871</v>
      </c>
      <c r="BQ24" s="73">
        <f t="shared" si="19"/>
        <v>119.53416202431487</v>
      </c>
      <c r="BR24" s="7"/>
      <c r="BS24" s="73">
        <f t="shared" si="20"/>
        <v>119.75366672674231</v>
      </c>
      <c r="BT24" s="73">
        <f t="shared" si="21"/>
        <v>119.53416202431487</v>
      </c>
      <c r="BU24" s="73">
        <f t="shared" si="22"/>
        <v>119.5027883846748</v>
      </c>
      <c r="BV24" s="73">
        <f t="shared" si="23"/>
        <v>119.81057165123362</v>
      </c>
      <c r="BW24" s="73">
        <f t="shared" si="24"/>
        <v>119.20244595655599</v>
      </c>
      <c r="BY24" s="41">
        <f>$V$135</f>
        <v>4375399.0900000129</v>
      </c>
      <c r="BZ24" s="41">
        <f>$V$90</f>
        <v>0</v>
      </c>
      <c r="CA24" s="41">
        <f t="shared" si="28"/>
        <v>4375399.0900000129</v>
      </c>
    </row>
    <row r="25" spans="1:79" x14ac:dyDescent="0.2">
      <c r="A25" s="568" t="s">
        <v>995</v>
      </c>
      <c r="B25" s="6"/>
      <c r="C25" s="612">
        <v>19030.739999999998</v>
      </c>
      <c r="D25" s="612">
        <v>36746.39</v>
      </c>
      <c r="E25" s="612">
        <v>856.82999999999993</v>
      </c>
      <c r="F25" s="612">
        <v>40</v>
      </c>
      <c r="G25" s="612">
        <v>26094.35</v>
      </c>
      <c r="H25" s="612">
        <v>22836.940000000002</v>
      </c>
      <c r="I25" s="612">
        <v>3219.06</v>
      </c>
      <c r="J25" s="612">
        <v>1698.9699999999998</v>
      </c>
      <c r="K25" s="612">
        <v>347.46000000000004</v>
      </c>
      <c r="L25" s="612">
        <v>980.18000000000006</v>
      </c>
      <c r="M25" s="612">
        <v>13452</v>
      </c>
      <c r="N25" s="612">
        <v>969.01999999999987</v>
      </c>
      <c r="O25" s="612">
        <v>10132.76</v>
      </c>
      <c r="P25" s="612">
        <v>101</v>
      </c>
      <c r="Q25" s="612">
        <v>2985.63</v>
      </c>
      <c r="R25" s="612">
        <v>11135.6</v>
      </c>
      <c r="S25" s="612">
        <v>2332.2099999999996</v>
      </c>
      <c r="T25" s="612">
        <v>862.1</v>
      </c>
      <c r="U25" s="612">
        <v>714.68999999999994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36846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0.99084992117083504</v>
      </c>
      <c r="AX25" s="372">
        <f t="shared" si="5"/>
        <v>0.99270528721999796</v>
      </c>
      <c r="AY25" s="372">
        <f t="shared" si="6"/>
        <v>0.99313624366980635</v>
      </c>
      <c r="AZ25" s="372">
        <f t="shared" si="7"/>
        <v>0.99179333901972133</v>
      </c>
      <c r="BA25" s="372">
        <f t="shared" si="8"/>
        <v>0.99613191518550459</v>
      </c>
      <c r="BB25" s="372">
        <f t="shared" si="9"/>
        <v>0.99544326474016287</v>
      </c>
      <c r="BC25" s="373">
        <v>1</v>
      </c>
      <c r="BD25" s="373">
        <v>2</v>
      </c>
      <c r="BE25" s="372">
        <f t="shared" si="10"/>
        <v>0.99448318375614042</v>
      </c>
      <c r="BF25" s="372">
        <f t="shared" si="11"/>
        <v>0.99385190345702557</v>
      </c>
      <c r="BG25" s="372">
        <f t="shared" si="12"/>
        <v>0.99317694602164064</v>
      </c>
      <c r="BH25" s="372">
        <f t="shared" si="13"/>
        <v>0.99179333901972144</v>
      </c>
      <c r="BI25" s="372">
        <f t="shared" si="14"/>
        <v>0.99654366661467964</v>
      </c>
      <c r="BJ25" s="372">
        <f t="shared" si="15"/>
        <v>0.99544326474016287</v>
      </c>
      <c r="BK25" s="7"/>
      <c r="BL25" s="41">
        <f t="shared" si="16"/>
        <v>36846</v>
      </c>
      <c r="BM25" s="41">
        <f>$U$135</f>
        <v>4654030.8600000069</v>
      </c>
      <c r="BN25" s="15">
        <f t="shared" si="17"/>
        <v>0.99270528721999796</v>
      </c>
      <c r="BO25" s="41">
        <f t="shared" si="29"/>
        <v>4688230.1524083707</v>
      </c>
      <c r="BP25" s="41">
        <f t="shared" si="18"/>
        <v>34199.292408363894</v>
      </c>
      <c r="BQ25" s="73">
        <f t="shared" si="19"/>
        <v>127.23851035141863</v>
      </c>
      <c r="BR25" s="7"/>
      <c r="BS25" s="73">
        <f t="shared" si="20"/>
        <v>127.47676440706124</v>
      </c>
      <c r="BT25" s="73">
        <f t="shared" si="21"/>
        <v>127.23851035141863</v>
      </c>
      <c r="BU25" s="73">
        <f t="shared" si="22"/>
        <v>127.18329712458348</v>
      </c>
      <c r="BV25" s="73">
        <f t="shared" si="23"/>
        <v>127.35550542081035</v>
      </c>
      <c r="BW25" s="73">
        <f t="shared" si="24"/>
        <v>126.88853944561077</v>
      </c>
      <c r="BY25" s="41">
        <f>$U$135</f>
        <v>4654030.8600000069</v>
      </c>
      <c r="BZ25" s="41">
        <f>$U$90</f>
        <v>0</v>
      </c>
      <c r="CA25" s="41">
        <f t="shared" si="28"/>
        <v>4654030.8600000069</v>
      </c>
    </row>
    <row r="26" spans="1:79" x14ac:dyDescent="0.2">
      <c r="A26" s="568" t="s">
        <v>996</v>
      </c>
      <c r="B26" s="6"/>
      <c r="C26" s="612">
        <v>40723.019999999997</v>
      </c>
      <c r="D26" s="612">
        <v>1172.25</v>
      </c>
      <c r="E26" s="612">
        <v>955.33</v>
      </c>
      <c r="F26" s="612">
        <v>9211.52</v>
      </c>
      <c r="G26" s="612">
        <v>271.63</v>
      </c>
      <c r="H26" s="612">
        <v>1419.82</v>
      </c>
      <c r="I26" s="612">
        <v>1941.73</v>
      </c>
      <c r="J26" s="612">
        <v>3567.17</v>
      </c>
      <c r="K26" s="612">
        <v>886</v>
      </c>
      <c r="L26" s="612">
        <v>572.62</v>
      </c>
      <c r="M26" s="612">
        <v>10956.83</v>
      </c>
      <c r="N26" s="612">
        <v>7124.21</v>
      </c>
      <c r="O26" s="612">
        <v>190.97</v>
      </c>
      <c r="P26" s="612">
        <v>2265.5500000000002</v>
      </c>
      <c r="Q26" s="612">
        <v>168.27</v>
      </c>
      <c r="R26" s="612">
        <v>19904.21</v>
      </c>
      <c r="S26" s="612">
        <v>1660.2799999999997</v>
      </c>
      <c r="T26" s="612">
        <v>138.08000000000001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35855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0.99261774490031307</v>
      </c>
      <c r="AX26" s="372">
        <f t="shared" si="5"/>
        <v>0.9936981234472646</v>
      </c>
      <c r="AY26" s="372">
        <f t="shared" si="6"/>
        <v>0.99416278366414312</v>
      </c>
      <c r="AZ26" s="372">
        <f t="shared" si="7"/>
        <v>0.99334210788656896</v>
      </c>
      <c r="BA26" s="372">
        <f t="shared" si="8"/>
        <v>0.99647897031997357</v>
      </c>
      <c r="BB26" s="372">
        <f t="shared" si="9"/>
        <v>0.99618150768560498</v>
      </c>
      <c r="BC26" s="373">
        <v>1</v>
      </c>
      <c r="BD26" s="373">
        <v>2</v>
      </c>
      <c r="BE26" s="372">
        <f t="shared" si="10"/>
        <v>0.99548391011869752</v>
      </c>
      <c r="BF26" s="372">
        <f t="shared" si="11"/>
        <v>0.9946835720986833</v>
      </c>
      <c r="BG26" s="372">
        <f t="shared" si="12"/>
        <v>0.99416278366414323</v>
      </c>
      <c r="BH26" s="372">
        <f t="shared" si="13"/>
        <v>0.99334210788656907</v>
      </c>
      <c r="BI26" s="372">
        <f t="shared" si="14"/>
        <v>0.99700813222262863</v>
      </c>
      <c r="BJ26" s="372">
        <f t="shared" si="15"/>
        <v>0.99618150768560498</v>
      </c>
      <c r="BK26" s="7"/>
      <c r="BL26" s="41">
        <f t="shared" si="16"/>
        <v>35855</v>
      </c>
      <c r="BM26" s="41">
        <f>$T$135</f>
        <v>4471030.9000000125</v>
      </c>
      <c r="BN26" s="15">
        <f t="shared" si="17"/>
        <v>0.9936981234472646</v>
      </c>
      <c r="BO26" s="41">
        <f t="shared" si="29"/>
        <v>4499385.4718065085</v>
      </c>
      <c r="BP26" s="41">
        <f t="shared" si="18"/>
        <v>28354.571806496009</v>
      </c>
      <c r="BQ26" s="73">
        <f t="shared" si="19"/>
        <v>125.48836903657812</v>
      </c>
      <c r="BR26" s="7"/>
      <c r="BS26" s="73">
        <f t="shared" si="20"/>
        <v>125.62495227065345</v>
      </c>
      <c r="BT26" s="73">
        <f t="shared" si="21"/>
        <v>125.48836903657812</v>
      </c>
      <c r="BU26" s="73">
        <f t="shared" si="22"/>
        <v>125.4297172204667</v>
      </c>
      <c r="BV26" s="73">
        <f t="shared" si="23"/>
        <v>125.53334428901999</v>
      </c>
      <c r="BW26" s="73">
        <f t="shared" si="24"/>
        <v>125.17553865842294</v>
      </c>
      <c r="BY26" s="41">
        <f>$T$135</f>
        <v>4471030.9000000125</v>
      </c>
      <c r="BZ26" s="41">
        <f>$T$90</f>
        <v>0</v>
      </c>
      <c r="CA26" s="41">
        <f t="shared" si="28"/>
        <v>4471030.9000000125</v>
      </c>
    </row>
    <row r="27" spans="1:79" x14ac:dyDescent="0.2">
      <c r="A27" s="568" t="s">
        <v>997</v>
      </c>
      <c r="B27" s="6"/>
      <c r="C27" s="612">
        <v>600</v>
      </c>
      <c r="D27" s="612">
        <v>5344.6</v>
      </c>
      <c r="E27" s="612">
        <v>0</v>
      </c>
      <c r="F27" s="612">
        <v>16114.15</v>
      </c>
      <c r="G27" s="612">
        <v>2261.0300000000002</v>
      </c>
      <c r="H27" s="612">
        <v>2362.0300000000002</v>
      </c>
      <c r="I27" s="612">
        <v>0</v>
      </c>
      <c r="J27" s="612">
        <v>357.12</v>
      </c>
      <c r="K27" s="612">
        <v>76.03</v>
      </c>
      <c r="L27" s="612">
        <v>3619.4</v>
      </c>
      <c r="M27" s="612">
        <v>5930.16</v>
      </c>
      <c r="N27" s="612">
        <v>871.18</v>
      </c>
      <c r="O27" s="612">
        <v>5023.4599999999991</v>
      </c>
      <c r="P27" s="612">
        <v>5497.13</v>
      </c>
      <c r="Q27" s="612">
        <v>1494.12</v>
      </c>
      <c r="R27" s="612">
        <v>1257.01</v>
      </c>
      <c r="S27" s="612">
        <v>513.48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35634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0.99287762544271008</v>
      </c>
      <c r="AX27" s="372">
        <f t="shared" si="5"/>
        <v>0.99429894465979018</v>
      </c>
      <c r="AY27" s="372">
        <f t="shared" si="6"/>
        <v>0.99473962424646833</v>
      </c>
      <c r="AZ27" s="372">
        <f t="shared" si="7"/>
        <v>0.99414573440826448</v>
      </c>
      <c r="BA27" s="372">
        <f t="shared" si="8"/>
        <v>0.99701482572071354</v>
      </c>
      <c r="BB27" s="372">
        <f t="shared" si="9"/>
        <v>0.99671447231472765</v>
      </c>
      <c r="BC27" s="373">
        <v>1</v>
      </c>
      <c r="BD27" s="373">
        <v>2</v>
      </c>
      <c r="BE27" s="372">
        <f t="shared" si="10"/>
        <v>0.99626516478570137</v>
      </c>
      <c r="BF27" s="372">
        <f t="shared" si="11"/>
        <v>0.99550013372961532</v>
      </c>
      <c r="BG27" s="372">
        <f t="shared" si="12"/>
        <v>0.99512573511663727</v>
      </c>
      <c r="BH27" s="372">
        <f t="shared" si="13"/>
        <v>0.99430426442806352</v>
      </c>
      <c r="BI27" s="372">
        <f t="shared" si="14"/>
        <v>0.99744001794173498</v>
      </c>
      <c r="BJ27" s="372">
        <f t="shared" si="15"/>
        <v>0.99674831818082421</v>
      </c>
      <c r="BK27" s="7"/>
      <c r="BL27" s="41">
        <f t="shared" si="16"/>
        <v>35634</v>
      </c>
      <c r="BM27" s="41">
        <f>$S$135</f>
        <v>4576387.1400000164</v>
      </c>
      <c r="BN27" s="15">
        <f t="shared" si="17"/>
        <v>0.99429894465979018</v>
      </c>
      <c r="BO27" s="41">
        <f t="shared" si="29"/>
        <v>4602626.9710724428</v>
      </c>
      <c r="BP27" s="41">
        <f t="shared" si="18"/>
        <v>26239.831072426401</v>
      </c>
      <c r="BQ27" s="73">
        <f t="shared" si="19"/>
        <v>129.16391567246009</v>
      </c>
      <c r="BR27" s="7"/>
      <c r="BS27" s="73">
        <f t="shared" si="20"/>
        <v>129.34881575560649</v>
      </c>
      <c r="BT27" s="73">
        <f t="shared" si="21"/>
        <v>129.16391567246009</v>
      </c>
      <c r="BU27" s="73">
        <f t="shared" si="22"/>
        <v>129.10669476802954</v>
      </c>
      <c r="BV27" s="73">
        <f t="shared" si="23"/>
        <v>129.18382144213078</v>
      </c>
      <c r="BW27" s="73">
        <f t="shared" si="24"/>
        <v>128.85088820171185</v>
      </c>
      <c r="BY27" s="41">
        <f>$S$135</f>
        <v>4576387.1400000164</v>
      </c>
      <c r="BZ27" s="41">
        <f>$S$90</f>
        <v>0</v>
      </c>
      <c r="CA27" s="41">
        <f t="shared" si="28"/>
        <v>4576387.1400000164</v>
      </c>
    </row>
    <row r="28" spans="1:79" x14ac:dyDescent="0.2">
      <c r="A28" s="568" t="s">
        <v>998</v>
      </c>
      <c r="B28" s="6"/>
      <c r="C28" s="612">
        <v>1461.8899999999999</v>
      </c>
      <c r="D28" s="612">
        <v>11964.130000000001</v>
      </c>
      <c r="E28" s="612">
        <v>7504.2</v>
      </c>
      <c r="F28" s="612">
        <v>2232.15</v>
      </c>
      <c r="G28" s="612">
        <v>901.88</v>
      </c>
      <c r="H28" s="612">
        <v>0</v>
      </c>
      <c r="I28" s="612">
        <v>200</v>
      </c>
      <c r="J28" s="612">
        <v>0</v>
      </c>
      <c r="K28" s="612">
        <v>0</v>
      </c>
      <c r="L28" s="612">
        <v>5677.34</v>
      </c>
      <c r="M28" s="612">
        <v>1080.5899999999999</v>
      </c>
      <c r="N28" s="612">
        <v>2161.7399999999998</v>
      </c>
      <c r="O28" s="612">
        <v>7641.9</v>
      </c>
      <c r="P28" s="612">
        <v>1494.22</v>
      </c>
      <c r="Q28" s="612">
        <v>498.36</v>
      </c>
      <c r="R28" s="612">
        <v>807.74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35445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0.99310653582844388</v>
      </c>
      <c r="AX28" s="372">
        <f t="shared" si="5"/>
        <v>0.99486627843763187</v>
      </c>
      <c r="AY28" s="372">
        <f t="shared" si="6"/>
        <v>0.99521421578602398</v>
      </c>
      <c r="AZ28" s="372">
        <f t="shared" si="7"/>
        <v>0.99493718050161961</v>
      </c>
      <c r="BA28" s="372">
        <f t="shared" si="8"/>
        <v>0.99735536192692908</v>
      </c>
      <c r="BB28" s="372">
        <f t="shared" si="9"/>
        <v>0.99708866264023643</v>
      </c>
      <c r="BC28" s="373">
        <v>1</v>
      </c>
      <c r="BD28" s="373">
        <v>2</v>
      </c>
      <c r="BE28" s="372">
        <f t="shared" si="10"/>
        <v>0.99682817865097173</v>
      </c>
      <c r="BF28" s="372">
        <f t="shared" si="11"/>
        <v>0.99614275112027972</v>
      </c>
      <c r="BG28" s="372">
        <f t="shared" si="12"/>
        <v>0.99588794412219095</v>
      </c>
      <c r="BH28" s="372">
        <f t="shared" si="13"/>
        <v>0.99518214219663492</v>
      </c>
      <c r="BI28" s="372">
        <f t="shared" si="14"/>
        <v>0.9978334275550349</v>
      </c>
      <c r="BJ28" s="372">
        <f t="shared" si="15"/>
        <v>0.99728158605784201</v>
      </c>
      <c r="BK28" s="7"/>
      <c r="BL28" s="41">
        <f t="shared" si="16"/>
        <v>35445</v>
      </c>
      <c r="BM28" s="41">
        <f>$R$135</f>
        <v>4023769.4900000077</v>
      </c>
      <c r="BN28" s="15">
        <f t="shared" si="17"/>
        <v>0.99486627843763187</v>
      </c>
      <c r="BO28" s="41">
        <f t="shared" si="29"/>
        <v>4044532.9962525791</v>
      </c>
      <c r="BP28" s="41">
        <f t="shared" si="18"/>
        <v>20763.506252571475</v>
      </c>
      <c r="BQ28" s="73">
        <f t="shared" si="19"/>
        <v>114.10729288341315</v>
      </c>
      <c r="BR28" s="7"/>
      <c r="BS28" s="73">
        <f t="shared" si="20"/>
        <v>114.30948616083279</v>
      </c>
      <c r="BT28" s="73">
        <f t="shared" si="21"/>
        <v>114.10729288341315</v>
      </c>
      <c r="BU28" s="73">
        <f t="shared" si="22"/>
        <v>114.0673997746851</v>
      </c>
      <c r="BV28" s="73">
        <f t="shared" si="23"/>
        <v>114.09916127195059</v>
      </c>
      <c r="BW28" s="73">
        <f t="shared" si="24"/>
        <v>113.85296219587471</v>
      </c>
      <c r="BY28" s="41">
        <f>$R$135</f>
        <v>4023769.4900000077</v>
      </c>
      <c r="BZ28" s="41">
        <f>$R$90</f>
        <v>0</v>
      </c>
      <c r="CA28" s="41">
        <f t="shared" si="28"/>
        <v>4023769.4900000077</v>
      </c>
    </row>
    <row r="29" spans="1:79" x14ac:dyDescent="0.2">
      <c r="A29" s="568" t="s">
        <v>999</v>
      </c>
      <c r="B29" s="6"/>
      <c r="C29" s="612">
        <v>3378</v>
      </c>
      <c r="D29" s="612">
        <v>17851.489999999998</v>
      </c>
      <c r="E29" s="612">
        <v>1135.97</v>
      </c>
      <c r="F29" s="612">
        <v>7472.83</v>
      </c>
      <c r="G29" s="612">
        <v>36.14</v>
      </c>
      <c r="H29" s="612">
        <v>233.07</v>
      </c>
      <c r="I29" s="612">
        <v>4796.7</v>
      </c>
      <c r="J29" s="612">
        <v>0</v>
      </c>
      <c r="K29" s="612">
        <v>2766.7</v>
      </c>
      <c r="L29" s="612">
        <v>311.17</v>
      </c>
      <c r="M29" s="612">
        <v>1080.01</v>
      </c>
      <c r="N29" s="612">
        <v>7821.82</v>
      </c>
      <c r="O29" s="612">
        <v>579.77</v>
      </c>
      <c r="P29" s="612">
        <v>142.31</v>
      </c>
      <c r="Q29" s="612">
        <v>880.2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35204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0.99336017317771619</v>
      </c>
      <c r="AX29" s="372">
        <f t="shared" si="5"/>
        <v>0.9952950613899455</v>
      </c>
      <c r="AY29" s="372">
        <f t="shared" si="6"/>
        <v>0.99575864500617672</v>
      </c>
      <c r="AZ29" s="372">
        <f t="shared" si="7"/>
        <v>0.99581561707595112</v>
      </c>
      <c r="BA29" s="372">
        <f t="shared" si="8"/>
        <v>0.99755854857925408</v>
      </c>
      <c r="BB29" s="372">
        <f t="shared" si="9"/>
        <v>0.99753986230170799</v>
      </c>
      <c r="BC29" s="373">
        <v>1</v>
      </c>
      <c r="BD29" s="373">
        <v>2</v>
      </c>
      <c r="BE29" s="372">
        <f t="shared" si="10"/>
        <v>0.99737918097328848</v>
      </c>
      <c r="BF29" s="372">
        <f t="shared" si="11"/>
        <v>0.9967450504317652</v>
      </c>
      <c r="BG29" s="372">
        <f t="shared" si="12"/>
        <v>0.99646578569004851</v>
      </c>
      <c r="BH29" s="372">
        <f t="shared" si="13"/>
        <v>0.99598725732971682</v>
      </c>
      <c r="BI29" s="372">
        <f t="shared" si="14"/>
        <v>0.99818107550115387</v>
      </c>
      <c r="BJ29" s="372">
        <f t="shared" si="15"/>
        <v>0.99776438543712231</v>
      </c>
      <c r="BK29" s="7"/>
      <c r="BL29" s="41">
        <f t="shared" si="16"/>
        <v>35204</v>
      </c>
      <c r="BM29" s="41">
        <f>$Q$135</f>
        <v>4145111.1000000094</v>
      </c>
      <c r="BN29" s="15">
        <f t="shared" si="17"/>
        <v>0.9952950613899455</v>
      </c>
      <c r="BO29" s="41">
        <f t="shared" si="29"/>
        <v>4164705.7850475973</v>
      </c>
      <c r="BP29" s="41">
        <f t="shared" si="18"/>
        <v>19594.685047587845</v>
      </c>
      <c r="BQ29" s="73">
        <f t="shared" si="19"/>
        <v>118.30206184091573</v>
      </c>
      <c r="BR29" s="7"/>
      <c r="BS29" s="73">
        <f t="shared" si="20"/>
        <v>118.53249312970614</v>
      </c>
      <c r="BT29" s="73">
        <f t="shared" si="21"/>
        <v>118.30206184091573</v>
      </c>
      <c r="BU29" s="73">
        <f t="shared" si="22"/>
        <v>118.24698534430597</v>
      </c>
      <c r="BV29" s="73">
        <f t="shared" si="23"/>
        <v>118.24022026110771</v>
      </c>
      <c r="BW29" s="73">
        <f t="shared" si="24"/>
        <v>118.03584232797205</v>
      </c>
      <c r="BY29" s="41">
        <f>$Q$135</f>
        <v>4145111.1000000094</v>
      </c>
      <c r="BZ29" s="41">
        <f>$Q$90</f>
        <v>0</v>
      </c>
      <c r="CA29" s="41">
        <f t="shared" si="28"/>
        <v>4145111.1000000094</v>
      </c>
    </row>
    <row r="30" spans="1:79" x14ac:dyDescent="0.2">
      <c r="A30" s="568" t="s">
        <v>1000</v>
      </c>
      <c r="B30" s="6"/>
      <c r="C30" s="612">
        <v>1606.2</v>
      </c>
      <c r="D30" s="612">
        <v>125.78</v>
      </c>
      <c r="E30" s="612">
        <v>7050.24</v>
      </c>
      <c r="F30" s="612">
        <v>0</v>
      </c>
      <c r="G30" s="612">
        <v>300</v>
      </c>
      <c r="H30" s="612">
        <v>204</v>
      </c>
      <c r="I30" s="612">
        <v>293.60000000000002</v>
      </c>
      <c r="J30" s="612">
        <v>707.4</v>
      </c>
      <c r="K30" s="612">
        <v>0</v>
      </c>
      <c r="L30" s="612">
        <v>1995.8</v>
      </c>
      <c r="M30" s="612">
        <v>100</v>
      </c>
      <c r="N30" s="612">
        <v>4912.0300000000007</v>
      </c>
      <c r="O30" s="612">
        <v>1477.35</v>
      </c>
      <c r="P30" s="612">
        <v>0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35020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0.99390925854071088</v>
      </c>
      <c r="AX30" s="372">
        <f t="shared" si="5"/>
        <v>0.99567468979523854</v>
      </c>
      <c r="AY30" s="372">
        <f t="shared" si="6"/>
        <v>0.99622414534533255</v>
      </c>
      <c r="AZ30" s="372">
        <f t="shared" si="7"/>
        <v>0.99625506855570301</v>
      </c>
      <c r="BA30" s="372">
        <f t="shared" si="8"/>
        <v>0.99781248046774695</v>
      </c>
      <c r="BB30" s="372">
        <f t="shared" si="9"/>
        <v>0.99789377325397177</v>
      </c>
      <c r="BC30" s="373">
        <v>1</v>
      </c>
      <c r="BD30" s="373">
        <v>2</v>
      </c>
      <c r="BE30" s="372">
        <f t="shared" si="10"/>
        <v>0.99785701635448631</v>
      </c>
      <c r="BF30" s="372">
        <f t="shared" si="11"/>
        <v>0.99731377992508674</v>
      </c>
      <c r="BG30" s="372">
        <f t="shared" si="12"/>
        <v>0.99701089957810096</v>
      </c>
      <c r="BH30" s="372">
        <f t="shared" si="13"/>
        <v>0.99678016947183279</v>
      </c>
      <c r="BI30" s="372">
        <f t="shared" si="14"/>
        <v>0.99852201004675767</v>
      </c>
      <c r="BJ30" s="372">
        <f t="shared" si="15"/>
        <v>0.99821589087470841</v>
      </c>
      <c r="BK30" s="7"/>
      <c r="BL30" s="41">
        <f t="shared" si="16"/>
        <v>35020</v>
      </c>
      <c r="BM30" s="41">
        <f>$P$135</f>
        <v>4033103.6400000071</v>
      </c>
      <c r="BN30" s="15">
        <f t="shared" si="17"/>
        <v>0.99567468979523854</v>
      </c>
      <c r="BO30" s="41">
        <f t="shared" si="29"/>
        <v>4050623.8446509261</v>
      </c>
      <c r="BP30" s="41">
        <f t="shared" si="18"/>
        <v>17520.204650918953</v>
      </c>
      <c r="BQ30" s="73">
        <f t="shared" si="19"/>
        <v>115.66601498146562</v>
      </c>
      <c r="BR30" s="7"/>
      <c r="BS30" s="73">
        <f t="shared" si="20"/>
        <v>115.87146673290091</v>
      </c>
      <c r="BT30" s="73">
        <f t="shared" si="21"/>
        <v>115.66601498146562</v>
      </c>
      <c r="BU30" s="73">
        <f t="shared" si="22"/>
        <v>115.60222076990614</v>
      </c>
      <c r="BV30" s="73">
        <f t="shared" si="23"/>
        <v>115.59863254044062</v>
      </c>
      <c r="BW30" s="73">
        <f t="shared" si="24"/>
        <v>115.40880068926094</v>
      </c>
      <c r="BY30" s="41">
        <f>$P$135</f>
        <v>4033103.6400000071</v>
      </c>
      <c r="BZ30" s="41">
        <f>$P$90</f>
        <v>0</v>
      </c>
      <c r="CA30" s="41">
        <f t="shared" si="28"/>
        <v>4033103.6400000071</v>
      </c>
    </row>
    <row r="31" spans="1:79" x14ac:dyDescent="0.2">
      <c r="A31" s="568" t="s">
        <v>1001</v>
      </c>
      <c r="B31" s="6"/>
      <c r="C31" s="612">
        <v>200</v>
      </c>
      <c r="D31" s="612">
        <v>7631.4699999999993</v>
      </c>
      <c r="E31" s="612">
        <v>5912.54</v>
      </c>
      <c r="F31" s="612">
        <v>300</v>
      </c>
      <c r="G31" s="612">
        <v>4846.67</v>
      </c>
      <c r="H31" s="612">
        <v>53.06</v>
      </c>
      <c r="I31" s="612">
        <v>203.54</v>
      </c>
      <c r="J31" s="612">
        <v>0</v>
      </c>
      <c r="K31" s="612">
        <v>2287.96</v>
      </c>
      <c r="L31" s="612">
        <v>434.47</v>
      </c>
      <c r="M31" s="612">
        <v>5676.4400000000005</v>
      </c>
      <c r="N31" s="612">
        <v>967.87999999999988</v>
      </c>
      <c r="O31" s="612">
        <v>756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34912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0.99521820763056812</v>
      </c>
      <c r="AX31" s="372">
        <f t="shared" ref="AX31:AX43" si="31">$H304</f>
        <v>0.99650788376902333</v>
      </c>
      <c r="AY31" s="372">
        <f t="shared" ref="AY31:AY43" si="32">$K304</f>
        <v>0.99698719566986593</v>
      </c>
      <c r="AZ31" s="372">
        <f t="shared" ref="AZ31:AZ43" si="33">$N304</f>
        <v>0.99698719566986593</v>
      </c>
      <c r="BA31" s="372">
        <f t="shared" ref="BA31:BA43" si="34">+S304</f>
        <v>0.99824471461582698</v>
      </c>
      <c r="BB31" s="372">
        <f t="shared" ref="BB31:BB43" si="35">$V304</f>
        <v>0.99846155799945291</v>
      </c>
      <c r="BC31" s="373">
        <v>1</v>
      </c>
      <c r="BD31" s="373">
        <v>2</v>
      </c>
      <c r="BE31" s="372">
        <f t="shared" ref="BE31:BE42" si="36">$E372</f>
        <v>0.99819213193259781</v>
      </c>
      <c r="BF31" s="372">
        <f t="shared" ref="BF31:BF42" si="37">$H372</f>
        <v>0.99774361773968323</v>
      </c>
      <c r="BG31" s="372">
        <f t="shared" ref="BG31:BG42" si="38">$K372</f>
        <v>0.99748657474600533</v>
      </c>
      <c r="BH31" s="372">
        <f t="shared" ref="BH31:BH42" si="39">$N372</f>
        <v>0.99751268247172975</v>
      </c>
      <c r="BI31" s="372">
        <f t="shared" ref="BI31:BI42" si="40">$S372</f>
        <v>0.99878239947309322</v>
      </c>
      <c r="BJ31" s="372">
        <f t="shared" ref="BJ31:BJ42" si="41">$V372</f>
        <v>0.99859064486846449</v>
      </c>
      <c r="BK31" s="7"/>
      <c r="BL31" s="41">
        <f t="shared" si="16"/>
        <v>34912</v>
      </c>
      <c r="BM31" s="41">
        <f>$O$135</f>
        <v>3950978.1900000079</v>
      </c>
      <c r="BN31" s="15">
        <f t="shared" si="17"/>
        <v>0.99650788376902333</v>
      </c>
      <c r="BO31" s="41">
        <f t="shared" si="29"/>
        <v>3964823.8155994257</v>
      </c>
      <c r="BP31" s="41">
        <f t="shared" si="18"/>
        <v>13845.625599417835</v>
      </c>
      <c r="BQ31" s="73">
        <f t="shared" si="19"/>
        <v>113.56621836616137</v>
      </c>
      <c r="BR31" s="7"/>
      <c r="BS31" s="73">
        <f t="shared" si="20"/>
        <v>113.71338573190936</v>
      </c>
      <c r="BT31" s="73">
        <f t="shared" si="21"/>
        <v>113.56621836616137</v>
      </c>
      <c r="BU31" s="73">
        <f t="shared" si="22"/>
        <v>113.51162023267177</v>
      </c>
      <c r="BV31" s="73">
        <f t="shared" si="23"/>
        <v>113.51162023267177</v>
      </c>
      <c r="BW31" s="73">
        <f t="shared" si="24"/>
        <v>113.34400510968521</v>
      </c>
      <c r="BY31" s="41">
        <f>$O$135</f>
        <v>3950978.1900000079</v>
      </c>
      <c r="BZ31" s="41">
        <f>$O$90</f>
        <v>0</v>
      </c>
      <c r="CA31" s="41">
        <f t="shared" si="28"/>
        <v>3950978.1900000079</v>
      </c>
    </row>
    <row r="32" spans="1:79" x14ac:dyDescent="0.2">
      <c r="A32" s="568" t="s">
        <v>1043</v>
      </c>
      <c r="B32" s="6"/>
      <c r="C32" s="612">
        <v>283.21999999999997</v>
      </c>
      <c r="D32" s="612">
        <v>5850</v>
      </c>
      <c r="E32" s="612">
        <v>0</v>
      </c>
      <c r="F32" s="612">
        <v>48</v>
      </c>
      <c r="G32" s="612">
        <v>33.86</v>
      </c>
      <c r="H32" s="612">
        <v>171.56</v>
      </c>
      <c r="I32" s="612">
        <v>1998.11</v>
      </c>
      <c r="J32" s="612">
        <v>4546.5600000000004</v>
      </c>
      <c r="K32" s="612">
        <v>625.58000000000004</v>
      </c>
      <c r="L32" s="612">
        <v>24195.91</v>
      </c>
      <c r="M32" s="612">
        <v>4252.2000000000007</v>
      </c>
      <c r="N32" s="612">
        <v>0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34838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0.99785417095285833</v>
      </c>
      <c r="AX32" s="372">
        <f t="shared" si="31"/>
        <v>0.99812418008062864</v>
      </c>
      <c r="AY32" s="372">
        <f t="shared" si="32"/>
        <v>0.9979528828631139</v>
      </c>
      <c r="AZ32" s="372">
        <f t="shared" si="33"/>
        <v>0.9979528828631139</v>
      </c>
      <c r="BA32" s="372">
        <f t="shared" si="34"/>
        <v>0.99897966329817767</v>
      </c>
      <c r="BB32" s="372">
        <f t="shared" si="35"/>
        <v>0.998944928621328</v>
      </c>
      <c r="BC32" s="373">
        <v>1</v>
      </c>
      <c r="BD32" s="373">
        <v>2</v>
      </c>
      <c r="BE32" s="372">
        <f t="shared" si="36"/>
        <v>0.99851245340986527</v>
      </c>
      <c r="BF32" s="372">
        <f t="shared" si="37"/>
        <v>0.99816644503362228</v>
      </c>
      <c r="BG32" s="372">
        <f t="shared" si="38"/>
        <v>0.99795288286311412</v>
      </c>
      <c r="BH32" s="372">
        <f t="shared" si="39"/>
        <v>0.99795288286311412</v>
      </c>
      <c r="BI32" s="372">
        <f t="shared" si="40"/>
        <v>0.99903664289695326</v>
      </c>
      <c r="BJ32" s="372">
        <f t="shared" si="41"/>
        <v>0.998944928621328</v>
      </c>
      <c r="BK32" s="7"/>
      <c r="BL32" s="41">
        <f t="shared" si="16"/>
        <v>34838</v>
      </c>
      <c r="BM32" s="41">
        <f>$N$135</f>
        <v>4328926.950000002</v>
      </c>
      <c r="BN32" s="15">
        <f t="shared" si="17"/>
        <v>0.99812418008062864</v>
      </c>
      <c r="BO32" s="41">
        <f t="shared" si="29"/>
        <v>4337062.4982257327</v>
      </c>
      <c r="BP32" s="41">
        <f t="shared" si="18"/>
        <v>8135.5482257306576</v>
      </c>
      <c r="BQ32" s="73">
        <f t="shared" si="19"/>
        <v>124.49229284762997</v>
      </c>
      <c r="BR32" s="7"/>
      <c r="BS32" s="73">
        <f t="shared" si="20"/>
        <v>124.52597918816389</v>
      </c>
      <c r="BT32" s="73">
        <f t="shared" si="21"/>
        <v>124.49229284762997</v>
      </c>
      <c r="BU32" s="73">
        <f t="shared" si="22"/>
        <v>124.51366177569562</v>
      </c>
      <c r="BV32" s="73">
        <f t="shared" si="23"/>
        <v>124.51366177569562</v>
      </c>
      <c r="BW32" s="73">
        <f t="shared" si="24"/>
        <v>124.39000806219737</v>
      </c>
      <c r="BY32" s="41">
        <f>$N$135</f>
        <v>4328926.950000002</v>
      </c>
      <c r="BZ32" s="41">
        <f>$N$90</f>
        <v>0</v>
      </c>
      <c r="CA32" s="41">
        <f t="shared" si="28"/>
        <v>4328926.950000002</v>
      </c>
    </row>
    <row r="33" spans="1:79" x14ac:dyDescent="0.2">
      <c r="A33" s="568" t="s">
        <v>1044</v>
      </c>
      <c r="B33" s="6"/>
      <c r="C33" s="612">
        <v>5850</v>
      </c>
      <c r="D33" s="612">
        <v>546.25</v>
      </c>
      <c r="E33" s="612">
        <v>5023.28</v>
      </c>
      <c r="F33" s="612">
        <v>0</v>
      </c>
      <c r="G33" s="612">
        <v>139.45999999999998</v>
      </c>
      <c r="H33" s="612">
        <v>689.45</v>
      </c>
      <c r="I33" s="612">
        <v>196</v>
      </c>
      <c r="J33" s="612">
        <v>815.67</v>
      </c>
      <c r="K33" s="612">
        <v>0</v>
      </c>
      <c r="L33" s="612">
        <v>1597.0600000000002</v>
      </c>
      <c r="M33" s="612">
        <v>0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34805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0.99800282952481612</v>
      </c>
      <c r="AX33" s="372">
        <f t="shared" si="31"/>
        <v>0.99826925990180782</v>
      </c>
      <c r="AY33" s="372">
        <f t="shared" si="32"/>
        <v>0.99833285638060132</v>
      </c>
      <c r="AZ33" s="372">
        <f t="shared" si="33"/>
        <v>0.99833285638060132</v>
      </c>
      <c r="BA33" s="372">
        <f t="shared" si="34"/>
        <v>0.99908584612293116</v>
      </c>
      <c r="BB33" s="372">
        <f t="shared" si="35"/>
        <v>0.99921754665599549</v>
      </c>
      <c r="BC33" s="373">
        <v>1</v>
      </c>
      <c r="BD33" s="373">
        <v>2</v>
      </c>
      <c r="BE33" s="372">
        <f t="shared" si="36"/>
        <v>0.99880547930128227</v>
      </c>
      <c r="BF33" s="372">
        <f t="shared" si="37"/>
        <v>0.99854716865061277</v>
      </c>
      <c r="BG33" s="372">
        <f t="shared" si="38"/>
        <v>0.99837579884016203</v>
      </c>
      <c r="BH33" s="372">
        <f t="shared" si="39"/>
        <v>0.99837579884016203</v>
      </c>
      <c r="BI33" s="372">
        <f t="shared" si="40"/>
        <v>0.99924892186182956</v>
      </c>
      <c r="BJ33" s="372">
        <f t="shared" si="41"/>
        <v>0.99921754665599549</v>
      </c>
      <c r="BK33" s="7"/>
      <c r="BL33" s="41">
        <f t="shared" si="16"/>
        <v>34805</v>
      </c>
      <c r="BM33" s="41">
        <f>$M$135</f>
        <v>3692141.0800000052</v>
      </c>
      <c r="BN33" s="15">
        <f t="shared" si="17"/>
        <v>0.99826925990180782</v>
      </c>
      <c r="BO33" s="41">
        <f t="shared" si="29"/>
        <v>3698542.2954556099</v>
      </c>
      <c r="BP33" s="41">
        <f t="shared" si="18"/>
        <v>6401.2154556047171</v>
      </c>
      <c r="BQ33" s="73">
        <f t="shared" si="19"/>
        <v>106.26468310460019</v>
      </c>
      <c r="BR33" s="7"/>
      <c r="BS33" s="73">
        <f t="shared" si="20"/>
        <v>106.29305190150426</v>
      </c>
      <c r="BT33" s="73">
        <f t="shared" si="21"/>
        <v>106.26468310460019</v>
      </c>
      <c r="BU33" s="73">
        <f t="shared" si="22"/>
        <v>106.25791375946409</v>
      </c>
      <c r="BV33" s="73">
        <f t="shared" si="23"/>
        <v>106.25791375946409</v>
      </c>
      <c r="BW33" s="73">
        <f t="shared" si="24"/>
        <v>106.16383480408417</v>
      </c>
      <c r="BY33" s="41">
        <f>$M$135</f>
        <v>3692141.0800000052</v>
      </c>
      <c r="BZ33" s="41">
        <f>$M$90</f>
        <v>0</v>
      </c>
      <c r="CA33" s="41">
        <f t="shared" si="28"/>
        <v>3692141.0800000052</v>
      </c>
    </row>
    <row r="34" spans="1:79" x14ac:dyDescent="0.2">
      <c r="A34" s="568" t="s">
        <v>1045</v>
      </c>
      <c r="B34" s="6"/>
      <c r="C34" s="612">
        <v>1310.22</v>
      </c>
      <c r="D34" s="612">
        <v>0</v>
      </c>
      <c r="E34" s="612">
        <v>0</v>
      </c>
      <c r="F34" s="612">
        <v>114.42999999999999</v>
      </c>
      <c r="G34" s="612">
        <v>0</v>
      </c>
      <c r="H34" s="612">
        <v>707.94</v>
      </c>
      <c r="I34" s="612">
        <v>0</v>
      </c>
      <c r="J34" s="612">
        <v>-2174.36</v>
      </c>
      <c r="K34" s="612">
        <v>875.08</v>
      </c>
      <c r="L34" s="612">
        <v>639.67999999999995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34854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0.99800282952481612</v>
      </c>
      <c r="AX34" s="372">
        <f t="shared" si="31"/>
        <v>0.99827449805676272</v>
      </c>
      <c r="AY34" s="372">
        <f t="shared" si="32"/>
        <v>0.99837781043101548</v>
      </c>
      <c r="AZ34" s="372">
        <f t="shared" si="33"/>
        <v>0.99837781043101548</v>
      </c>
      <c r="BA34" s="372">
        <f t="shared" si="34"/>
        <v>0.99917463778576343</v>
      </c>
      <c r="BB34" s="372">
        <f t="shared" si="35"/>
        <v>0.99929397623368965</v>
      </c>
      <c r="BC34" s="373">
        <v>1</v>
      </c>
      <c r="BD34" s="373">
        <v>2</v>
      </c>
      <c r="BE34" s="372">
        <f t="shared" si="36"/>
        <v>0.99906697987493565</v>
      </c>
      <c r="BF34" s="372">
        <f t="shared" si="37"/>
        <v>0.99888572086790361</v>
      </c>
      <c r="BG34" s="372">
        <f t="shared" si="38"/>
        <v>0.99875593338416102</v>
      </c>
      <c r="BH34" s="372">
        <f t="shared" si="39"/>
        <v>0.99875593338416102</v>
      </c>
      <c r="BI34" s="372">
        <f t="shared" si="40"/>
        <v>0.99945249428047089</v>
      </c>
      <c r="BJ34" s="372">
        <f t="shared" si="41"/>
        <v>0.99943626895047144</v>
      </c>
      <c r="BK34" s="7"/>
      <c r="BL34" s="41">
        <f t="shared" si="16"/>
        <v>34854</v>
      </c>
      <c r="BM34" s="41">
        <f>$L$135</f>
        <v>3574534.7200000044</v>
      </c>
      <c r="BN34" s="15">
        <f t="shared" si="17"/>
        <v>0.99827449805676272</v>
      </c>
      <c r="BO34" s="41">
        <f t="shared" si="29"/>
        <v>3580713.2476670295</v>
      </c>
      <c r="BP34" s="41">
        <f t="shared" si="18"/>
        <v>6178.5276670251042</v>
      </c>
      <c r="BQ34" s="73">
        <f t="shared" si="19"/>
        <v>102.7346430156375</v>
      </c>
      <c r="BR34" s="7"/>
      <c r="BS34" s="73">
        <f t="shared" si="20"/>
        <v>102.76260863739972</v>
      </c>
      <c r="BT34" s="73">
        <f t="shared" si="21"/>
        <v>102.7346430156375</v>
      </c>
      <c r="BU34" s="73">
        <f t="shared" si="22"/>
        <v>102.72401201024348</v>
      </c>
      <c r="BV34" s="73">
        <f t="shared" si="23"/>
        <v>102.72401201024348</v>
      </c>
      <c r="BW34" s="73">
        <f t="shared" si="24"/>
        <v>102.62983329091207</v>
      </c>
      <c r="BY34" s="41">
        <f>$L$135</f>
        <v>3574534.7200000044</v>
      </c>
      <c r="BZ34" s="41">
        <f>$L$90</f>
        <v>0</v>
      </c>
      <c r="CA34" s="41">
        <f t="shared" si="28"/>
        <v>3574534.7200000044</v>
      </c>
    </row>
    <row r="35" spans="1:79" x14ac:dyDescent="0.2">
      <c r="A35" s="568" t="s">
        <v>1046</v>
      </c>
      <c r="B35" s="6"/>
      <c r="C35" s="612">
        <v>243.19</v>
      </c>
      <c r="D35" s="612">
        <v>0</v>
      </c>
      <c r="E35" s="612">
        <v>44.699999999999996</v>
      </c>
      <c r="F35" s="612">
        <v>0</v>
      </c>
      <c r="G35" s="612">
        <v>603.68000000000006</v>
      </c>
      <c r="H35" s="612">
        <v>0</v>
      </c>
      <c r="I35" s="612">
        <v>-7646.77</v>
      </c>
      <c r="J35" s="612">
        <v>1280.75</v>
      </c>
      <c r="K35" s="612">
        <v>0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34368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0.99800282952481612</v>
      </c>
      <c r="AX35" s="372">
        <f t="shared" si="31"/>
        <v>0.99827449805676272</v>
      </c>
      <c r="AY35" s="372">
        <f t="shared" si="32"/>
        <v>0.99837781043101548</v>
      </c>
      <c r="AZ35" s="372">
        <f t="shared" si="33"/>
        <v>0.99837781043101548</v>
      </c>
      <c r="BA35" s="372">
        <f t="shared" si="34"/>
        <v>0.99926318069661291</v>
      </c>
      <c r="BB35" s="372">
        <f t="shared" si="35"/>
        <v>0.99935931100128206</v>
      </c>
      <c r="BC35" s="373">
        <v>1</v>
      </c>
      <c r="BD35" s="373">
        <v>2</v>
      </c>
      <c r="BE35" s="372">
        <f t="shared" si="36"/>
        <v>0.99932213950925375</v>
      </c>
      <c r="BF35" s="372">
        <f t="shared" si="37"/>
        <v>0.99920102776663555</v>
      </c>
      <c r="BG35" s="372">
        <f t="shared" si="38"/>
        <v>0.99907119931435351</v>
      </c>
      <c r="BH35" s="372">
        <f t="shared" si="39"/>
        <v>0.99907119931435351</v>
      </c>
      <c r="BI35" s="372">
        <f t="shared" si="40"/>
        <v>0.99964986234160669</v>
      </c>
      <c r="BJ35" s="372">
        <f t="shared" si="41"/>
        <v>0.99963363380749104</v>
      </c>
      <c r="BK35" s="7"/>
      <c r="BL35" s="41">
        <f t="shared" si="16"/>
        <v>34368</v>
      </c>
      <c r="BM35" s="41">
        <f>$K$135</f>
        <v>3885665.2800000012</v>
      </c>
      <c r="BN35" s="15">
        <f t="shared" si="17"/>
        <v>0.99827449805676272</v>
      </c>
      <c r="BO35" s="41">
        <f t="shared" si="29"/>
        <v>3892381.5920008197</v>
      </c>
      <c r="BP35" s="41">
        <f t="shared" si="18"/>
        <v>6716.3120008185506</v>
      </c>
      <c r="BQ35" s="73">
        <f t="shared" si="19"/>
        <v>113.25598207637394</v>
      </c>
      <c r="BR35" s="7"/>
      <c r="BS35" s="73">
        <f t="shared" si="20"/>
        <v>113.28681173484246</v>
      </c>
      <c r="BT35" s="73">
        <f t="shared" si="21"/>
        <v>113.25598207637394</v>
      </c>
      <c r="BU35" s="73">
        <f t="shared" si="22"/>
        <v>113.24426232030126</v>
      </c>
      <c r="BV35" s="73">
        <f t="shared" si="23"/>
        <v>113.24426232030126</v>
      </c>
      <c r="BW35" s="73">
        <f t="shared" si="24"/>
        <v>113.13304175446149</v>
      </c>
      <c r="BY35" s="41">
        <f>$K$135</f>
        <v>3885665.2800000012</v>
      </c>
      <c r="BZ35" s="41">
        <f>$K$90</f>
        <v>0</v>
      </c>
      <c r="CA35" s="41">
        <f t="shared" si="28"/>
        <v>3885665.2800000012</v>
      </c>
    </row>
    <row r="36" spans="1:79" x14ac:dyDescent="0.2">
      <c r="A36" s="568" t="s">
        <v>1047</v>
      </c>
      <c r="B36" s="6"/>
      <c r="C36" s="612">
        <v>0</v>
      </c>
      <c r="D36" s="612">
        <v>44.7</v>
      </c>
      <c r="E36" s="612">
        <v>149.46</v>
      </c>
      <c r="F36" s="612">
        <v>813.51</v>
      </c>
      <c r="G36" s="612">
        <v>4052.45</v>
      </c>
      <c r="H36" s="612">
        <v>0</v>
      </c>
      <c r="I36" s="612">
        <v>2029.1100000000001</v>
      </c>
      <c r="J36" s="612">
        <v>0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34312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0.99822329306916224</v>
      </c>
      <c r="AX36" s="372">
        <f t="shared" si="31"/>
        <v>0.99858623536271685</v>
      </c>
      <c r="AY36" s="372">
        <f t="shared" si="32"/>
        <v>0.99862726677108349</v>
      </c>
      <c r="AZ36" s="372">
        <f t="shared" si="33"/>
        <v>0.99862726677108349</v>
      </c>
      <c r="BA36" s="372">
        <f t="shared" si="34"/>
        <v>0.99947550779707062</v>
      </c>
      <c r="BB36" s="372">
        <f t="shared" si="35"/>
        <v>0.99951735795039798</v>
      </c>
      <c r="BC36" s="373">
        <v>1</v>
      </c>
      <c r="BD36" s="373">
        <v>2</v>
      </c>
      <c r="BE36" s="372">
        <f t="shared" si="36"/>
        <v>0.9995525356936027</v>
      </c>
      <c r="BF36" s="372">
        <f t="shared" si="37"/>
        <v>0.99951305440571026</v>
      </c>
      <c r="BG36" s="372">
        <f t="shared" si="38"/>
        <v>0.99936886563525917</v>
      </c>
      <c r="BH36" s="372">
        <f t="shared" si="39"/>
        <v>0.99936886563525917</v>
      </c>
      <c r="BI36" s="372">
        <f t="shared" si="40"/>
        <v>0.99975611640267281</v>
      </c>
      <c r="BJ36" s="372">
        <f t="shared" si="41"/>
        <v>0.99979172414028494</v>
      </c>
      <c r="BK36" s="7"/>
      <c r="BL36" s="41">
        <f t="shared" si="16"/>
        <v>34312</v>
      </c>
      <c r="BM36" s="41">
        <f>$J$135</f>
        <v>3960536.4299999978</v>
      </c>
      <c r="BN36" s="15">
        <f t="shared" si="17"/>
        <v>0.99858623536271685</v>
      </c>
      <c r="BO36" s="41">
        <f t="shared" si="29"/>
        <v>3966143.6236014315</v>
      </c>
      <c r="BP36" s="41">
        <f t="shared" si="18"/>
        <v>5607.1936014336534</v>
      </c>
      <c r="BQ36" s="73">
        <f t="shared" si="19"/>
        <v>115.59056958502657</v>
      </c>
      <c r="BR36" s="7"/>
      <c r="BS36" s="73">
        <f t="shared" si="20"/>
        <v>115.63259696179664</v>
      </c>
      <c r="BT36" s="73">
        <f t="shared" si="21"/>
        <v>115.59056958502657</v>
      </c>
      <c r="BU36" s="73">
        <f t="shared" si="22"/>
        <v>115.58582022155353</v>
      </c>
      <c r="BV36" s="73">
        <f t="shared" si="23"/>
        <v>115.58582022155353</v>
      </c>
      <c r="BW36" s="73">
        <f t="shared" si="24"/>
        <v>115.482888623403</v>
      </c>
      <c r="BY36" s="41">
        <f>$J$135</f>
        <v>3960536.4299999978</v>
      </c>
      <c r="BZ36" s="41">
        <f>$J$90</f>
        <v>0</v>
      </c>
      <c r="CA36" s="41">
        <f t="shared" si="28"/>
        <v>3960536.4299999978</v>
      </c>
    </row>
    <row r="37" spans="1:79" x14ac:dyDescent="0.2">
      <c r="A37" s="568" t="s">
        <v>1048</v>
      </c>
      <c r="B37" s="6"/>
      <c r="C37" s="612">
        <v>173.78</v>
      </c>
      <c r="D37" s="612">
        <v>0</v>
      </c>
      <c r="E37" s="612">
        <v>3728</v>
      </c>
      <c r="F37" s="612">
        <v>0</v>
      </c>
      <c r="G37" s="612">
        <v>-139</v>
      </c>
      <c r="H37" s="612">
        <v>3734.82</v>
      </c>
      <c r="I37" s="612">
        <v>465.76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34275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0.99855853165591224</v>
      </c>
      <c r="AX37" s="372">
        <f t="shared" si="31"/>
        <v>0.99892480082537294</v>
      </c>
      <c r="AY37" s="372">
        <f t="shared" si="32"/>
        <v>0.99892480082537294</v>
      </c>
      <c r="AZ37" s="372">
        <f t="shared" si="33"/>
        <v>0.99892480082537294</v>
      </c>
      <c r="BA37" s="372">
        <f t="shared" si="34"/>
        <v>0.99973614587163795</v>
      </c>
      <c r="BB37" s="372">
        <f t="shared" si="35"/>
        <v>0.99973614587163795</v>
      </c>
      <c r="BC37" s="373">
        <v>1</v>
      </c>
      <c r="BD37" s="373">
        <v>2</v>
      </c>
      <c r="BE37" s="372">
        <f t="shared" si="36"/>
        <v>0.99977334157536968</v>
      </c>
      <c r="BF37" s="372">
        <f t="shared" si="37"/>
        <v>0.99977171996559133</v>
      </c>
      <c r="BG37" s="372">
        <f t="shared" si="38"/>
        <v>0.99962749388030092</v>
      </c>
      <c r="BH37" s="372">
        <f t="shared" si="39"/>
        <v>0.99962749388030092</v>
      </c>
      <c r="BI37" s="372">
        <f t="shared" si="40"/>
        <v>0.99984496763437292</v>
      </c>
      <c r="BJ37" s="372">
        <f t="shared" si="41"/>
        <v>0.99986819763648582</v>
      </c>
      <c r="BK37" s="7"/>
      <c r="BL37" s="41">
        <f t="shared" si="16"/>
        <v>34275</v>
      </c>
      <c r="BM37" s="41">
        <f>$I$135</f>
        <v>4139368.6699999976</v>
      </c>
      <c r="BN37" s="15">
        <f t="shared" si="17"/>
        <v>0.99892480082537294</v>
      </c>
      <c r="BO37" s="41">
        <f t="shared" si="29"/>
        <v>4143824.1062588468</v>
      </c>
      <c r="BP37" s="41">
        <f t="shared" si="18"/>
        <v>4455.4362588492222</v>
      </c>
      <c r="BQ37" s="73">
        <f t="shared" si="19"/>
        <v>120.89931746925885</v>
      </c>
      <c r="BR37" s="7"/>
      <c r="BS37" s="73">
        <f t="shared" si="20"/>
        <v>120.94366308465747</v>
      </c>
      <c r="BT37" s="73">
        <f t="shared" si="21"/>
        <v>120.89931746925885</v>
      </c>
      <c r="BU37" s="73">
        <f t="shared" si="22"/>
        <v>120.89931746925885</v>
      </c>
      <c r="BV37" s="73">
        <f t="shared" si="23"/>
        <v>120.89931746925885</v>
      </c>
      <c r="BW37" s="73">
        <f t="shared" si="24"/>
        <v>120.80120051837079</v>
      </c>
      <c r="BY37" s="41">
        <f>$I$135</f>
        <v>4139368.6699999976</v>
      </c>
      <c r="BZ37" s="41">
        <f>$I$90</f>
        <v>0</v>
      </c>
      <c r="CA37" s="41">
        <f t="shared" si="28"/>
        <v>4139368.6699999976</v>
      </c>
    </row>
    <row r="38" spans="1:79" x14ac:dyDescent="0.2">
      <c r="A38" s="568" t="s">
        <v>1049</v>
      </c>
      <c r="B38" s="6"/>
      <c r="C38" s="612">
        <v>0</v>
      </c>
      <c r="D38" s="612">
        <v>2527.0899999999997</v>
      </c>
      <c r="E38" s="612">
        <v>0</v>
      </c>
      <c r="F38" s="612">
        <v>438.13000000000005</v>
      </c>
      <c r="G38" s="612">
        <v>2614.6399999999994</v>
      </c>
      <c r="H38" s="612">
        <v>0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34128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0.99887897071144627</v>
      </c>
      <c r="AX38" s="372">
        <f t="shared" si="31"/>
        <v>0.99918331415018213</v>
      </c>
      <c r="AY38" s="372">
        <f t="shared" si="32"/>
        <v>0.99918331415018213</v>
      </c>
      <c r="AZ38" s="372">
        <f t="shared" si="33"/>
        <v>0.99918331415018213</v>
      </c>
      <c r="BA38" s="372">
        <f t="shared" si="34"/>
        <v>0.99993356994720661</v>
      </c>
      <c r="BB38" s="372">
        <f t="shared" si="35"/>
        <v>0.99993356994720661</v>
      </c>
      <c r="BC38" s="373">
        <v>1</v>
      </c>
      <c r="BD38" s="373">
        <v>2</v>
      </c>
      <c r="BE38" s="372">
        <f t="shared" si="36"/>
        <v>0.99992228606201561</v>
      </c>
      <c r="BF38" s="372">
        <f t="shared" si="37"/>
        <v>0.99991703926077258</v>
      </c>
      <c r="BG38" s="372">
        <f t="shared" si="38"/>
        <v>0.99987726246835384</v>
      </c>
      <c r="BH38" s="372">
        <f t="shared" si="39"/>
        <v>0.99987726246835384</v>
      </c>
      <c r="BI38" s="372">
        <f t="shared" si="40"/>
        <v>0.9999335699472065</v>
      </c>
      <c r="BJ38" s="372">
        <f t="shared" si="41"/>
        <v>0.9999335699472065</v>
      </c>
      <c r="BK38" s="7"/>
      <c r="BL38" s="41">
        <f t="shared" si="16"/>
        <v>34128</v>
      </c>
      <c r="BM38" s="41">
        <f>$H$135</f>
        <v>4014606.4399999976</v>
      </c>
      <c r="BN38" s="15">
        <f t="shared" si="17"/>
        <v>0.99918331415018213</v>
      </c>
      <c r="BO38" s="41">
        <f t="shared" si="29"/>
        <v>4017887.7921059667</v>
      </c>
      <c r="BP38" s="41">
        <f t="shared" si="18"/>
        <v>3281.3521059690975</v>
      </c>
      <c r="BQ38" s="73">
        <f t="shared" si="19"/>
        <v>117.72995171430985</v>
      </c>
      <c r="BR38" s="7"/>
      <c r="BS38" s="73">
        <f t="shared" si="20"/>
        <v>117.76582226459425</v>
      </c>
      <c r="BT38" s="73">
        <f t="shared" si="21"/>
        <v>117.72995171430985</v>
      </c>
      <c r="BU38" s="73">
        <f t="shared" si="22"/>
        <v>117.72995171430985</v>
      </c>
      <c r="BV38" s="73">
        <f t="shared" si="23"/>
        <v>117.72995171430985</v>
      </c>
      <c r="BW38" s="73">
        <f t="shared" si="24"/>
        <v>117.64161826755723</v>
      </c>
      <c r="BY38" s="41">
        <f>$H$135</f>
        <v>4014606.4399999976</v>
      </c>
      <c r="BZ38" s="41">
        <f>$H$90</f>
        <v>0</v>
      </c>
      <c r="CA38" s="41">
        <f t="shared" si="28"/>
        <v>4014606.4399999976</v>
      </c>
    </row>
    <row r="39" spans="1:79" x14ac:dyDescent="0.2">
      <c r="A39" s="568" t="s">
        <v>1050</v>
      </c>
      <c r="B39" s="6"/>
      <c r="C39" s="612">
        <v>0</v>
      </c>
      <c r="D39" s="612">
        <v>0</v>
      </c>
      <c r="E39" s="612">
        <v>111.84</v>
      </c>
      <c r="F39" s="612">
        <v>4690.47</v>
      </c>
      <c r="G39" s="612">
        <v>0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34003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0.99935752462839755</v>
      </c>
      <c r="AX39" s="372">
        <f t="shared" si="31"/>
        <v>0.99949871498680198</v>
      </c>
      <c r="AY39" s="372">
        <f t="shared" si="32"/>
        <v>0.99949871498680198</v>
      </c>
      <c r="AZ39" s="372">
        <f t="shared" si="33"/>
        <v>0.99949871498680198</v>
      </c>
      <c r="BA39" s="372">
        <f t="shared" si="34"/>
        <v>0.99995033009269974</v>
      </c>
      <c r="BB39" s="372">
        <f t="shared" si="35"/>
        <v>0.99995033009269974</v>
      </c>
      <c r="BC39" s="373">
        <v>1</v>
      </c>
      <c r="BD39" s="373">
        <v>2</v>
      </c>
      <c r="BE39" s="372">
        <f t="shared" si="36"/>
        <v>0.99998506349173955</v>
      </c>
      <c r="BF39" s="372">
        <f t="shared" si="37"/>
        <v>0.99997981636109023</v>
      </c>
      <c r="BG39" s="372">
        <f t="shared" si="38"/>
        <v>0.99994003707139256</v>
      </c>
      <c r="BH39" s="372">
        <f t="shared" si="39"/>
        <v>0.99994003707139256</v>
      </c>
      <c r="BI39" s="372">
        <f t="shared" si="40"/>
        <v>0.99996332406102095</v>
      </c>
      <c r="BJ39" s="372">
        <f t="shared" si="41"/>
        <v>0.99996332406102095</v>
      </c>
      <c r="BK39" s="7"/>
      <c r="BL39" s="41">
        <f t="shared" si="16"/>
        <v>34003</v>
      </c>
      <c r="BM39" s="41">
        <f>$G$135</f>
        <v>3900551.2699999944</v>
      </c>
      <c r="BN39" s="15">
        <f t="shared" si="17"/>
        <v>0.99949871498680198</v>
      </c>
      <c r="BO39" s="41">
        <f t="shared" si="29"/>
        <v>3902507.5385429584</v>
      </c>
      <c r="BP39" s="41">
        <f t="shared" si="18"/>
        <v>1956.2685429640114</v>
      </c>
      <c r="BQ39" s="73">
        <f t="shared" si="19"/>
        <v>114.76950676537243</v>
      </c>
      <c r="BR39" s="7"/>
      <c r="BS39" s="73">
        <f t="shared" si="20"/>
        <v>114.78572153075393</v>
      </c>
      <c r="BT39" s="73">
        <f t="shared" si="21"/>
        <v>114.76950676537243</v>
      </c>
      <c r="BU39" s="73">
        <f t="shared" si="22"/>
        <v>114.76950676537243</v>
      </c>
      <c r="BV39" s="73">
        <f t="shared" si="23"/>
        <v>114.76950676537243</v>
      </c>
      <c r="BW39" s="73">
        <f t="shared" si="24"/>
        <v>114.71767254781996</v>
      </c>
      <c r="BY39" s="41">
        <f>$G$135</f>
        <v>3900551.2699999944</v>
      </c>
      <c r="BZ39" s="41">
        <f>$G$90</f>
        <v>0</v>
      </c>
      <c r="CA39" s="41">
        <f t="shared" si="28"/>
        <v>3900551.2699999944</v>
      </c>
    </row>
    <row r="40" spans="1:79" x14ac:dyDescent="0.2">
      <c r="A40" s="568" t="s">
        <v>1051</v>
      </c>
      <c r="B40" s="6"/>
      <c r="C40" s="612">
        <v>0</v>
      </c>
      <c r="D40" s="612">
        <v>153.35000000000002</v>
      </c>
      <c r="E40" s="612">
        <v>5948</v>
      </c>
      <c r="F40" s="612">
        <v>50.5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33923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0.99992228606201561</v>
      </c>
      <c r="AX40" s="372">
        <f t="shared" si="31"/>
        <v>0.99992228606201561</v>
      </c>
      <c r="AY40" s="372">
        <f t="shared" si="32"/>
        <v>0.99992228606201561</v>
      </c>
      <c r="AZ40" s="372">
        <f t="shared" si="33"/>
        <v>0.99992228606201561</v>
      </c>
      <c r="BA40" s="372">
        <f t="shared" si="34"/>
        <v>0.99998008470523059</v>
      </c>
      <c r="BB40" s="372">
        <f t="shared" si="35"/>
        <v>0.99998008470523059</v>
      </c>
      <c r="BC40" s="373">
        <v>1</v>
      </c>
      <c r="BD40" s="373">
        <v>2</v>
      </c>
      <c r="BE40" s="372">
        <f t="shared" si="36"/>
        <v>1</v>
      </c>
      <c r="BF40" s="372">
        <f t="shared" si="37"/>
        <v>0.99999475279097572</v>
      </c>
      <c r="BG40" s="372">
        <f t="shared" si="38"/>
        <v>0.99998506349173955</v>
      </c>
      <c r="BH40" s="372">
        <f t="shared" si="39"/>
        <v>0.99998506349173955</v>
      </c>
      <c r="BI40" s="372">
        <f t="shared" si="40"/>
        <v>0.99998008470523059</v>
      </c>
      <c r="BJ40" s="372">
        <f t="shared" si="41"/>
        <v>0.99998008470523059</v>
      </c>
      <c r="BK40" s="7"/>
      <c r="BL40" s="41">
        <f t="shared" si="16"/>
        <v>33923</v>
      </c>
      <c r="BM40" s="41">
        <f>$F$135</f>
        <v>3673464.629999999</v>
      </c>
      <c r="BN40" s="15">
        <f t="shared" si="17"/>
        <v>0.99992228606201561</v>
      </c>
      <c r="BO40" s="41">
        <f t="shared" si="29"/>
        <v>3673750.1315898956</v>
      </c>
      <c r="BP40" s="41">
        <f t="shared" si="18"/>
        <v>285.50158989662305</v>
      </c>
      <c r="BQ40" s="73">
        <f t="shared" si="19"/>
        <v>108.29673471066521</v>
      </c>
      <c r="BR40" s="7"/>
      <c r="BS40" s="73">
        <f t="shared" si="20"/>
        <v>108.29673471066521</v>
      </c>
      <c r="BT40" s="73">
        <f t="shared" si="21"/>
        <v>108.29673471066521</v>
      </c>
      <c r="BU40" s="73">
        <f t="shared" si="22"/>
        <v>108.29673471066521</v>
      </c>
      <c r="BV40" s="73">
        <f t="shared" si="23"/>
        <v>108.29673471066521</v>
      </c>
      <c r="BW40" s="73">
        <f t="shared" si="24"/>
        <v>108.29047518167394</v>
      </c>
      <c r="BY40" s="41">
        <f>$F$135</f>
        <v>3673464.629999999</v>
      </c>
      <c r="BZ40" s="41">
        <f>$F$90</f>
        <v>0</v>
      </c>
      <c r="CA40" s="41">
        <f t="shared" si="28"/>
        <v>3673464.629999999</v>
      </c>
    </row>
    <row r="41" spans="1:79" x14ac:dyDescent="0.2">
      <c r="A41" s="568" t="s">
        <v>1052</v>
      </c>
      <c r="B41" s="6"/>
      <c r="C41" s="612">
        <v>0</v>
      </c>
      <c r="D41" s="612">
        <v>631.22</v>
      </c>
      <c r="E41" s="612">
        <v>0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33715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0.99998506349173955</v>
      </c>
      <c r="AX41" s="372">
        <f t="shared" si="31"/>
        <v>0.99998506349173955</v>
      </c>
      <c r="AY41" s="372">
        <f t="shared" si="32"/>
        <v>0.99998506349173955</v>
      </c>
      <c r="AZ41" s="372">
        <f t="shared" si="33"/>
        <v>0.99998506349173955</v>
      </c>
      <c r="BA41" s="372">
        <f t="shared" si="34"/>
        <v>0.99998506349173955</v>
      </c>
      <c r="BB41" s="372">
        <f t="shared" si="35"/>
        <v>0.99998506349173955</v>
      </c>
      <c r="BC41" s="373">
        <v>1</v>
      </c>
      <c r="BD41" s="373">
        <v>2</v>
      </c>
      <c r="BE41" s="372">
        <f t="shared" si="36"/>
        <v>1</v>
      </c>
      <c r="BF41" s="372">
        <f t="shared" si="37"/>
        <v>1</v>
      </c>
      <c r="BG41" s="372">
        <f t="shared" si="38"/>
        <v>1</v>
      </c>
      <c r="BH41" s="372">
        <f t="shared" si="39"/>
        <v>1</v>
      </c>
      <c r="BI41" s="372">
        <f t="shared" si="40"/>
        <v>0.9999950211391242</v>
      </c>
      <c r="BJ41" s="372">
        <f t="shared" si="41"/>
        <v>0.9999950211391242</v>
      </c>
      <c r="BK41" s="7"/>
      <c r="BL41" s="41">
        <f t="shared" si="16"/>
        <v>33715</v>
      </c>
      <c r="BM41" s="41">
        <f>$E$135</f>
        <v>3638130.6099999989</v>
      </c>
      <c r="BN41" s="15">
        <f t="shared" si="17"/>
        <v>0.99998506349173955</v>
      </c>
      <c r="BO41" s="41">
        <f t="shared" si="29"/>
        <v>3638184.9517795844</v>
      </c>
      <c r="BP41" s="41">
        <f t="shared" si="18"/>
        <v>54.341779585462064</v>
      </c>
      <c r="BQ41" s="73">
        <f t="shared" si="19"/>
        <v>107.90997929051117</v>
      </c>
      <c r="BR41" s="7"/>
      <c r="BS41" s="73">
        <f t="shared" si="20"/>
        <v>107.90997929051117</v>
      </c>
      <c r="BT41" s="73">
        <f t="shared" si="21"/>
        <v>107.90997929051117</v>
      </c>
      <c r="BU41" s="73">
        <f t="shared" si="22"/>
        <v>107.90997929051117</v>
      </c>
      <c r="BV41" s="73">
        <f t="shared" si="23"/>
        <v>107.90997929051117</v>
      </c>
      <c r="BW41" s="73">
        <f t="shared" si="24"/>
        <v>107.90997929051117</v>
      </c>
      <c r="BY41" s="41">
        <f>$E$135</f>
        <v>3638130.6099999989</v>
      </c>
      <c r="BZ41" s="41">
        <f>$E$90</f>
        <v>0</v>
      </c>
      <c r="CA41" s="41">
        <f t="shared" si="28"/>
        <v>3638130.6099999989</v>
      </c>
    </row>
    <row r="42" spans="1:79" x14ac:dyDescent="0.2">
      <c r="A42" s="568" t="s">
        <v>1053</v>
      </c>
      <c r="B42" s="6"/>
      <c r="C42" s="612">
        <v>101</v>
      </c>
      <c r="D42" s="612">
        <v>0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33625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1</v>
      </c>
      <c r="AX42" s="372">
        <f t="shared" si="31"/>
        <v>1</v>
      </c>
      <c r="AY42" s="372">
        <f t="shared" si="32"/>
        <v>1</v>
      </c>
      <c r="AZ42" s="372">
        <f t="shared" si="33"/>
        <v>1</v>
      </c>
      <c r="BA42" s="372">
        <f t="shared" si="34"/>
        <v>1</v>
      </c>
      <c r="BB42" s="372">
        <f t="shared" si="35"/>
        <v>1</v>
      </c>
      <c r="BC42" s="373">
        <v>1</v>
      </c>
      <c r="BD42" s="373">
        <v>2</v>
      </c>
      <c r="BE42" s="372">
        <f t="shared" si="36"/>
        <v>0.99904689388346535</v>
      </c>
      <c r="BF42" s="372">
        <f t="shared" si="37"/>
        <v>0.99904689388346535</v>
      </c>
      <c r="BG42" s="372">
        <f t="shared" si="38"/>
        <v>0.99904689388346535</v>
      </c>
      <c r="BH42" s="372">
        <f t="shared" si="39"/>
        <v>0.99904689388346535</v>
      </c>
      <c r="BI42" s="372">
        <f t="shared" si="40"/>
        <v>0.99904689388346535</v>
      </c>
      <c r="BJ42" s="372">
        <f t="shared" si="41"/>
        <v>0.99904689388346535</v>
      </c>
      <c r="BK42" s="7"/>
      <c r="BL42" s="41">
        <f t="shared" si="16"/>
        <v>33625</v>
      </c>
      <c r="BM42" s="41">
        <f>$D$135</f>
        <v>3351579.1400000011</v>
      </c>
      <c r="BN42" s="15">
        <f t="shared" si="17"/>
        <v>1</v>
      </c>
      <c r="BO42" s="41">
        <f t="shared" si="29"/>
        <v>3351579.1400000011</v>
      </c>
      <c r="BP42" s="41">
        <f t="shared" si="18"/>
        <v>0</v>
      </c>
      <c r="BQ42" s="73">
        <f t="shared" si="19"/>
        <v>99.675216059479581</v>
      </c>
      <c r="BR42" s="7"/>
      <c r="BS42" s="73">
        <f t="shared" si="20"/>
        <v>99.675216059479581</v>
      </c>
      <c r="BT42" s="73">
        <f t="shared" si="21"/>
        <v>99.675216059479581</v>
      </c>
      <c r="BU42" s="73">
        <f t="shared" si="22"/>
        <v>99.675216059479581</v>
      </c>
      <c r="BV42" s="73">
        <f t="shared" si="23"/>
        <v>99.675216059479581</v>
      </c>
      <c r="BW42" s="73">
        <f t="shared" si="24"/>
        <v>99.675216059479581</v>
      </c>
      <c r="BY42" s="41">
        <f>$D$135</f>
        <v>3351579.1400000011</v>
      </c>
      <c r="BZ42" s="41">
        <f>$D$90</f>
        <v>0</v>
      </c>
      <c r="CA42" s="41">
        <f t="shared" si="28"/>
        <v>3351579.1400000011</v>
      </c>
    </row>
    <row r="43" spans="1:79" x14ac:dyDescent="0.2">
      <c r="A43" s="568" t="s">
        <v>1054</v>
      </c>
      <c r="B43" s="6"/>
      <c r="C43" s="612">
        <v>0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33510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33510</v>
      </c>
      <c r="BM43" s="41">
        <f>$C$135</f>
        <v>3380977.610000005</v>
      </c>
      <c r="BN43" s="15">
        <f t="shared" si="17"/>
        <v>1</v>
      </c>
      <c r="BO43" s="41">
        <f t="shared" si="29"/>
        <v>3380977.610000005</v>
      </c>
      <c r="BP43" s="41">
        <f t="shared" si="18"/>
        <v>0</v>
      </c>
      <c r="BQ43" s="73">
        <f t="shared" si="19"/>
        <v>100.89458698895866</v>
      </c>
      <c r="BR43" s="7"/>
      <c r="BS43" s="73">
        <f t="shared" si="20"/>
        <v>100.89458698895866</v>
      </c>
      <c r="BT43" s="73">
        <f t="shared" si="21"/>
        <v>100.89458698895866</v>
      </c>
      <c r="BU43" s="73">
        <f t="shared" si="22"/>
        <v>100.89458698895866</v>
      </c>
      <c r="BV43" s="73">
        <f t="shared" si="23"/>
        <v>100.89458698895866</v>
      </c>
      <c r="BW43" s="73">
        <f t="shared" si="24"/>
        <v>100.89458698895866</v>
      </c>
      <c r="BY43" s="41">
        <f>$C$135</f>
        <v>3380977.610000005</v>
      </c>
      <c r="BZ43" s="41">
        <f>$C$90</f>
        <v>0</v>
      </c>
      <c r="CA43" s="41">
        <f t="shared" si="28"/>
        <v>3380977.610000005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3380977.610000005</v>
      </c>
      <c r="D45" s="41">
        <f t="shared" si="43"/>
        <v>3351579.1400000011</v>
      </c>
      <c r="E45" s="41">
        <f t="shared" si="43"/>
        <v>3638130.6099999989</v>
      </c>
      <c r="F45" s="41">
        <f t="shared" si="43"/>
        <v>3673464.629999999</v>
      </c>
      <c r="G45" s="41">
        <f t="shared" si="43"/>
        <v>3900551.2699999944</v>
      </c>
      <c r="H45" s="41">
        <f t="shared" si="43"/>
        <v>4014606.4399999976</v>
      </c>
      <c r="I45" s="41">
        <f t="shared" si="43"/>
        <v>4139368.6699999976</v>
      </c>
      <c r="J45" s="41">
        <f t="shared" si="43"/>
        <v>3960536.4299999978</v>
      </c>
      <c r="K45" s="41">
        <f t="shared" si="43"/>
        <v>3885665.2800000012</v>
      </c>
      <c r="L45" s="41">
        <f t="shared" si="43"/>
        <v>3574534.7200000044</v>
      </c>
      <c r="M45" s="41">
        <f t="shared" si="43"/>
        <v>3692141.0800000052</v>
      </c>
      <c r="N45" s="41">
        <f t="shared" si="43"/>
        <v>4328926.950000002</v>
      </c>
      <c r="O45" s="41">
        <f t="shared" si="43"/>
        <v>3950978.1900000079</v>
      </c>
      <c r="P45" s="41">
        <f t="shared" si="43"/>
        <v>4033103.6400000071</v>
      </c>
      <c r="Q45" s="41">
        <f t="shared" si="43"/>
        <v>4145111.1000000094</v>
      </c>
      <c r="R45" s="41">
        <f t="shared" si="43"/>
        <v>4023769.4900000077</v>
      </c>
      <c r="S45" s="41">
        <f t="shared" si="43"/>
        <v>4576387.1400000164</v>
      </c>
      <c r="T45" s="41">
        <f t="shared" si="43"/>
        <v>4471030.9000000125</v>
      </c>
      <c r="U45" s="41">
        <f t="shared" si="43"/>
        <v>4654030.8600000069</v>
      </c>
      <c r="V45" s="41">
        <f t="shared" si="43"/>
        <v>4375399.0900000129</v>
      </c>
      <c r="W45" s="41">
        <f t="shared" si="43"/>
        <v>4392206.6300000092</v>
      </c>
      <c r="X45" s="41">
        <f t="shared" si="43"/>
        <v>4311182.3399999924</v>
      </c>
      <c r="Y45" s="41">
        <f t="shared" si="43"/>
        <v>4362488.2299999902</v>
      </c>
      <c r="Z45" s="41">
        <f t="shared" si="43"/>
        <v>4984576.0699999863</v>
      </c>
      <c r="AA45" s="41">
        <f t="shared" si="43"/>
        <v>4461740.7500000009</v>
      </c>
      <c r="AB45" s="41">
        <f t="shared" si="43"/>
        <v>4709219.6099999994</v>
      </c>
      <c r="AC45" s="41">
        <f t="shared" si="43"/>
        <v>4804281.4399999911</v>
      </c>
      <c r="AD45" s="41">
        <f t="shared" si="43"/>
        <v>4661068.5199999847</v>
      </c>
      <c r="AE45" s="41">
        <f t="shared" si="43"/>
        <v>5070741.000000014</v>
      </c>
      <c r="AF45" s="41">
        <f t="shared" si="43"/>
        <v>4885085.5199999968</v>
      </c>
      <c r="AG45" s="41">
        <f t="shared" si="43"/>
        <v>5628476.9799999958</v>
      </c>
      <c r="AH45" s="41">
        <f t="shared" si="43"/>
        <v>5132941.4099999983</v>
      </c>
      <c r="AI45" s="41">
        <f t="shared" si="43"/>
        <v>4612761.2399999928</v>
      </c>
      <c r="AJ45" s="41">
        <f t="shared" si="43"/>
        <v>3478675.1399999922</v>
      </c>
      <c r="AK45" s="41">
        <f t="shared" si="43"/>
        <v>1819598.1699999985</v>
      </c>
      <c r="AL45" s="41">
        <f>SUM(AL8:AL43)</f>
        <v>571271.51999999979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Allied Pacific (APC Medicare)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Allied Pacific (APC Medicare)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Allied Pacific (APC Medicare)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Allied Pacific (APC Medicare)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Allied Pacific (APC Medicare)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Allied Pacific (APC Medicare)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1004526.7600000019</v>
      </c>
      <c r="D98" s="176">
        <f t="shared" si="47"/>
        <v>482211.5600000007</v>
      </c>
      <c r="E98" s="176">
        <f t="shared" si="47"/>
        <v>241497.67</v>
      </c>
      <c r="F98" s="176">
        <f t="shared" si="47"/>
        <v>298703.77000000031</v>
      </c>
      <c r="G98" s="176">
        <f t="shared" si="47"/>
        <v>698076.46000000043</v>
      </c>
      <c r="H98" s="176">
        <f t="shared" si="47"/>
        <v>1026866.4800000011</v>
      </c>
      <c r="I98" s="176">
        <f t="shared" si="47"/>
        <v>761446.51000000152</v>
      </c>
      <c r="J98" s="176">
        <f t="shared" si="47"/>
        <v>633432.7000000017</v>
      </c>
      <c r="K98" s="176">
        <f t="shared" si="47"/>
        <v>584954.71000000113</v>
      </c>
      <c r="L98" s="176">
        <f t="shared" si="47"/>
        <v>158790.01000000007</v>
      </c>
      <c r="M98" s="176">
        <f t="shared" si="47"/>
        <v>659023.53000000049</v>
      </c>
      <c r="N98" s="176">
        <f t="shared" si="47"/>
        <v>531228.49999999884</v>
      </c>
      <c r="O98" s="176">
        <f t="shared" si="47"/>
        <v>626580.95000000135</v>
      </c>
      <c r="P98" s="176">
        <f t="shared" si="47"/>
        <v>798211.74000000185</v>
      </c>
      <c r="Q98" s="176">
        <f t="shared" si="47"/>
        <v>800445.93000000168</v>
      </c>
      <c r="R98" s="176">
        <f t="shared" si="47"/>
        <v>672374.03000000061</v>
      </c>
      <c r="S98" s="176">
        <f t="shared" si="47"/>
        <v>1373123.0700000084</v>
      </c>
      <c r="T98" s="176">
        <f t="shared" si="47"/>
        <v>1141760.6800000041</v>
      </c>
      <c r="U98" s="176">
        <f t="shared" si="47"/>
        <v>1219165.3500000034</v>
      </c>
      <c r="V98" s="176">
        <f t="shared" si="47"/>
        <v>1162636.3100000024</v>
      </c>
      <c r="W98" s="176">
        <f t="shared" si="47"/>
        <v>1142800.2500000079</v>
      </c>
      <c r="X98" s="176">
        <f t="shared" si="47"/>
        <v>997159.99999999884</v>
      </c>
      <c r="Y98" s="176">
        <f t="shared" si="47"/>
        <v>920338.80000000563</v>
      </c>
      <c r="Z98" s="176">
        <f t="shared" si="47"/>
        <v>1300877.1699999955</v>
      </c>
      <c r="AA98" s="176">
        <f t="shared" si="47"/>
        <v>644189.63000000187</v>
      </c>
      <c r="AB98" s="176">
        <f t="shared" si="47"/>
        <v>788344.64000000048</v>
      </c>
      <c r="AC98" s="176">
        <f t="shared" si="47"/>
        <v>975607.42000000051</v>
      </c>
      <c r="AD98" s="176">
        <f t="shared" si="47"/>
        <v>801693.41999999993</v>
      </c>
      <c r="AE98" s="176">
        <f t="shared" si="47"/>
        <v>854406.51000000024</v>
      </c>
      <c r="AF98" s="176">
        <f t="shared" si="47"/>
        <v>671365.21000000031</v>
      </c>
      <c r="AG98" s="176">
        <f t="shared" si="47"/>
        <v>1311137.7499999909</v>
      </c>
      <c r="AH98" s="176">
        <f t="shared" si="47"/>
        <v>915291.40999999852</v>
      </c>
      <c r="AI98" s="176">
        <f t="shared" si="47"/>
        <v>1015613.4899999979</v>
      </c>
      <c r="AJ98" s="176">
        <f t="shared" si="47"/>
        <v>885592.62000000034</v>
      </c>
      <c r="AK98" s="176">
        <f t="shared" si="47"/>
        <v>390415.41999999981</v>
      </c>
      <c r="AL98" s="176">
        <f t="shared" si="47"/>
        <v>571271.51999999979</v>
      </c>
    </row>
    <row r="99" spans="1:38" x14ac:dyDescent="0.2">
      <c r="A99" s="252" t="s">
        <v>979</v>
      </c>
      <c r="B99" s="6"/>
      <c r="C99" s="176">
        <f t="shared" ref="C99:AL99" si="48">+C9+C54</f>
        <v>996993.39000000199</v>
      </c>
      <c r="D99" s="176">
        <f t="shared" si="48"/>
        <v>1099072.9700000009</v>
      </c>
      <c r="E99" s="176">
        <f t="shared" si="48"/>
        <v>1773582.079999998</v>
      </c>
      <c r="F99" s="176">
        <f t="shared" si="48"/>
        <v>1849270.8899999978</v>
      </c>
      <c r="G99" s="176">
        <f t="shared" si="48"/>
        <v>1979809.339999994</v>
      </c>
      <c r="H99" s="176">
        <f t="shared" si="48"/>
        <v>1459384.9199999967</v>
      </c>
      <c r="I99" s="176">
        <f t="shared" si="48"/>
        <v>1738201.1299999971</v>
      </c>
      <c r="J99" s="176">
        <f t="shared" si="48"/>
        <v>1783434.6299999955</v>
      </c>
      <c r="K99" s="176">
        <f t="shared" si="48"/>
        <v>1165656.0200000009</v>
      </c>
      <c r="L99" s="176">
        <f t="shared" si="48"/>
        <v>1929438.8100000038</v>
      </c>
      <c r="M99" s="176">
        <f t="shared" si="48"/>
        <v>1425391.7700000049</v>
      </c>
      <c r="N99" s="176">
        <f t="shared" si="48"/>
        <v>1904885.3000000028</v>
      </c>
      <c r="O99" s="176">
        <f t="shared" si="48"/>
        <v>1773720.0200000061</v>
      </c>
      <c r="P99" s="176">
        <f t="shared" si="48"/>
        <v>1816168.1300000055</v>
      </c>
      <c r="Q99" s="176">
        <f t="shared" si="48"/>
        <v>1804411.190000006</v>
      </c>
      <c r="R99" s="176">
        <f t="shared" si="48"/>
        <v>2406975.2600000068</v>
      </c>
      <c r="S99" s="176">
        <f t="shared" si="48"/>
        <v>2037549.0700000052</v>
      </c>
      <c r="T99" s="176">
        <f t="shared" si="48"/>
        <v>1954385.0700000071</v>
      </c>
      <c r="U99" s="176">
        <f t="shared" si="48"/>
        <v>2000060.7400000019</v>
      </c>
      <c r="V99" s="176">
        <f t="shared" si="48"/>
        <v>1990378.2700000096</v>
      </c>
      <c r="W99" s="176">
        <f t="shared" si="48"/>
        <v>2183789.3100000033</v>
      </c>
      <c r="X99" s="176">
        <f t="shared" si="48"/>
        <v>1856379.4999999928</v>
      </c>
      <c r="Y99" s="176">
        <f t="shared" si="48"/>
        <v>2326430.0999999866</v>
      </c>
      <c r="Z99" s="176">
        <f t="shared" si="48"/>
        <v>2198378.1399999955</v>
      </c>
      <c r="AA99" s="176">
        <f t="shared" si="48"/>
        <v>2435955.9899999993</v>
      </c>
      <c r="AB99" s="176">
        <f t="shared" si="48"/>
        <v>2479088.1399999987</v>
      </c>
      <c r="AC99" s="176">
        <f t="shared" si="48"/>
        <v>2307497.1999999923</v>
      </c>
      <c r="AD99" s="176">
        <f t="shared" si="48"/>
        <v>2315581.7599999853</v>
      </c>
      <c r="AE99" s="176">
        <f t="shared" si="48"/>
        <v>2708337.3100000136</v>
      </c>
      <c r="AF99" s="176">
        <f t="shared" si="48"/>
        <v>2715547.6899999958</v>
      </c>
      <c r="AG99" s="176">
        <f t="shared" si="48"/>
        <v>2653562.6200000048</v>
      </c>
      <c r="AH99" s="176">
        <f t="shared" si="48"/>
        <v>2528019.5400000014</v>
      </c>
      <c r="AI99" s="176">
        <f t="shared" si="48"/>
        <v>2359768.7699999949</v>
      </c>
      <c r="AJ99" s="176">
        <f t="shared" si="48"/>
        <v>1396203.529999994</v>
      </c>
      <c r="AK99" s="176">
        <f t="shared" si="48"/>
        <v>1429182.7499999988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381728.93000000034</v>
      </c>
      <c r="D100" s="176">
        <f t="shared" si="49"/>
        <v>752129.85</v>
      </c>
      <c r="E100" s="176">
        <f t="shared" si="49"/>
        <v>508333.79999999981</v>
      </c>
      <c r="F100" s="176">
        <f t="shared" si="49"/>
        <v>841753.54000000015</v>
      </c>
      <c r="G100" s="176">
        <f t="shared" si="49"/>
        <v>362217.38000000041</v>
      </c>
      <c r="H100" s="176">
        <f t="shared" si="49"/>
        <v>632893.54999999935</v>
      </c>
      <c r="I100" s="176">
        <f t="shared" si="49"/>
        <v>731025.26999999874</v>
      </c>
      <c r="J100" s="176">
        <f t="shared" si="49"/>
        <v>589219.24000000081</v>
      </c>
      <c r="K100" s="176">
        <f t="shared" si="49"/>
        <v>1235946.3999999987</v>
      </c>
      <c r="L100" s="176">
        <f t="shared" si="49"/>
        <v>601039.48000000056</v>
      </c>
      <c r="M100" s="176">
        <f t="shared" si="49"/>
        <v>641560.65000000049</v>
      </c>
      <c r="N100" s="176">
        <f t="shared" si="49"/>
        <v>955181.12000000069</v>
      </c>
      <c r="O100" s="176">
        <f t="shared" si="49"/>
        <v>835768.89000000106</v>
      </c>
      <c r="P100" s="176">
        <f t="shared" si="49"/>
        <v>887571.59000000043</v>
      </c>
      <c r="Q100" s="176">
        <f t="shared" si="49"/>
        <v>1203650.1900000011</v>
      </c>
      <c r="R100" s="176">
        <f t="shared" si="49"/>
        <v>524840.57999999938</v>
      </c>
      <c r="S100" s="176">
        <f t="shared" si="49"/>
        <v>658998.25</v>
      </c>
      <c r="T100" s="176">
        <f t="shared" si="49"/>
        <v>876785.08999999962</v>
      </c>
      <c r="U100" s="176">
        <f t="shared" si="49"/>
        <v>845285.75</v>
      </c>
      <c r="V100" s="176">
        <f t="shared" si="49"/>
        <v>721842.08000000019</v>
      </c>
      <c r="W100" s="176">
        <f t="shared" si="49"/>
        <v>537953.88999999966</v>
      </c>
      <c r="X100" s="176">
        <f t="shared" si="49"/>
        <v>834521.04000000015</v>
      </c>
      <c r="Y100" s="176">
        <f t="shared" si="49"/>
        <v>684800.34999999939</v>
      </c>
      <c r="Z100" s="176">
        <f t="shared" si="49"/>
        <v>954812.17999999656</v>
      </c>
      <c r="AA100" s="176">
        <f t="shared" si="49"/>
        <v>890764.17999999819</v>
      </c>
      <c r="AB100" s="176">
        <f t="shared" si="49"/>
        <v>877810.76999999979</v>
      </c>
      <c r="AC100" s="176">
        <f t="shared" si="49"/>
        <v>951002.20999999729</v>
      </c>
      <c r="AD100" s="176">
        <f t="shared" si="49"/>
        <v>986918.05999999878</v>
      </c>
      <c r="AE100" s="176">
        <f t="shared" si="49"/>
        <v>1003367.2299999996</v>
      </c>
      <c r="AF100" s="176">
        <f t="shared" si="49"/>
        <v>965089.46000000008</v>
      </c>
      <c r="AG100" s="176">
        <f t="shared" si="49"/>
        <v>1085842.28</v>
      </c>
      <c r="AH100" s="176">
        <f t="shared" si="49"/>
        <v>1278018.0699999975</v>
      </c>
      <c r="AI100" s="176">
        <f t="shared" si="49"/>
        <v>930380.86</v>
      </c>
      <c r="AJ100" s="176">
        <f t="shared" si="49"/>
        <v>1196878.9899999981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334782.81</v>
      </c>
      <c r="D101" s="176">
        <f t="shared" si="50"/>
        <v>298072.36999999976</v>
      </c>
      <c r="E101" s="176">
        <f t="shared" si="50"/>
        <v>535093.92999999959</v>
      </c>
      <c r="F101" s="176">
        <f t="shared" si="50"/>
        <v>140271.31999999992</v>
      </c>
      <c r="G101" s="176">
        <f t="shared" si="50"/>
        <v>291439.0700000003</v>
      </c>
      <c r="H101" s="176">
        <f t="shared" si="50"/>
        <v>301952.11000000016</v>
      </c>
      <c r="I101" s="176">
        <f t="shared" si="50"/>
        <v>449943.09000000026</v>
      </c>
      <c r="J101" s="176">
        <f t="shared" si="50"/>
        <v>546283.95999999973</v>
      </c>
      <c r="K101" s="176">
        <f t="shared" si="50"/>
        <v>396779.53000000044</v>
      </c>
      <c r="L101" s="176">
        <f t="shared" si="50"/>
        <v>342481.31999999995</v>
      </c>
      <c r="M101" s="176">
        <f t="shared" si="50"/>
        <v>370706.48999999964</v>
      </c>
      <c r="N101" s="176">
        <f t="shared" si="50"/>
        <v>520811.28999999975</v>
      </c>
      <c r="O101" s="176">
        <f t="shared" si="50"/>
        <v>420955.83999999962</v>
      </c>
      <c r="P101" s="176">
        <f t="shared" si="50"/>
        <v>334590.12999999942</v>
      </c>
      <c r="Q101" s="176">
        <f t="shared" si="50"/>
        <v>137097.75000000003</v>
      </c>
      <c r="R101" s="176">
        <f t="shared" si="50"/>
        <v>163463.13000000018</v>
      </c>
      <c r="S101" s="176">
        <f t="shared" si="50"/>
        <v>201317.80999999997</v>
      </c>
      <c r="T101" s="176">
        <f t="shared" si="50"/>
        <v>225396.57000000009</v>
      </c>
      <c r="U101" s="176">
        <f t="shared" si="50"/>
        <v>266688.14000000013</v>
      </c>
      <c r="V101" s="176">
        <f t="shared" si="50"/>
        <v>200685.99999999994</v>
      </c>
      <c r="W101" s="176">
        <f t="shared" si="50"/>
        <v>270467.65999999986</v>
      </c>
      <c r="X101" s="176">
        <f t="shared" si="50"/>
        <v>287760.24999999988</v>
      </c>
      <c r="Y101" s="176">
        <f t="shared" si="50"/>
        <v>212476.00000000012</v>
      </c>
      <c r="Z101" s="176">
        <f t="shared" si="50"/>
        <v>263281.68999999994</v>
      </c>
      <c r="AA101" s="176">
        <f t="shared" si="50"/>
        <v>235467.19000000021</v>
      </c>
      <c r="AB101" s="176">
        <f t="shared" si="50"/>
        <v>265364.6700000001</v>
      </c>
      <c r="AC101" s="176">
        <f t="shared" si="50"/>
        <v>287982.66999999993</v>
      </c>
      <c r="AD101" s="176">
        <f t="shared" si="50"/>
        <v>334775.23000000027</v>
      </c>
      <c r="AE101" s="176">
        <f t="shared" si="50"/>
        <v>320759.19000000041</v>
      </c>
      <c r="AF101" s="176">
        <f t="shared" si="50"/>
        <v>356481.47000000061</v>
      </c>
      <c r="AG101" s="176">
        <f t="shared" si="50"/>
        <v>419390.68000000005</v>
      </c>
      <c r="AH101" s="176">
        <f t="shared" si="50"/>
        <v>274665.9099999998</v>
      </c>
      <c r="AI101" s="176">
        <f t="shared" si="50"/>
        <v>306998.1199999997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133530.56999999995</v>
      </c>
      <c r="D102" s="176">
        <f t="shared" si="51"/>
        <v>321296.21999999956</v>
      </c>
      <c r="E102" s="176">
        <f t="shared" si="51"/>
        <v>55702.040000000015</v>
      </c>
      <c r="F102" s="176">
        <f t="shared" si="51"/>
        <v>192050.44000000024</v>
      </c>
      <c r="G102" s="176">
        <f t="shared" si="51"/>
        <v>163097.68999999994</v>
      </c>
      <c r="H102" s="176">
        <f t="shared" si="51"/>
        <v>272450.56999999995</v>
      </c>
      <c r="I102" s="176">
        <f t="shared" si="51"/>
        <v>175392.5</v>
      </c>
      <c r="J102" s="176">
        <f t="shared" si="51"/>
        <v>164227.2099999999</v>
      </c>
      <c r="K102" s="176">
        <f t="shared" si="51"/>
        <v>198774.30000000005</v>
      </c>
      <c r="L102" s="176">
        <f t="shared" si="51"/>
        <v>142853.07</v>
      </c>
      <c r="M102" s="176">
        <f t="shared" si="51"/>
        <v>210355.86000000002</v>
      </c>
      <c r="N102" s="176">
        <f t="shared" si="51"/>
        <v>183759.04</v>
      </c>
      <c r="O102" s="176">
        <f t="shared" si="51"/>
        <v>105310.87000000002</v>
      </c>
      <c r="P102" s="176">
        <f t="shared" si="51"/>
        <v>29270.999999999996</v>
      </c>
      <c r="Q102" s="176">
        <f t="shared" si="51"/>
        <v>28214.720000000001</v>
      </c>
      <c r="R102" s="176">
        <f t="shared" si="51"/>
        <v>76865.170000000027</v>
      </c>
      <c r="S102" s="176">
        <f t="shared" si="51"/>
        <v>80561.879999999976</v>
      </c>
      <c r="T102" s="176">
        <f t="shared" si="51"/>
        <v>67992.13</v>
      </c>
      <c r="U102" s="176">
        <f t="shared" si="51"/>
        <v>90458.11</v>
      </c>
      <c r="V102" s="176">
        <f t="shared" si="51"/>
        <v>122483.65</v>
      </c>
      <c r="W102" s="176">
        <f t="shared" si="51"/>
        <v>76193.689999999988</v>
      </c>
      <c r="X102" s="176">
        <f t="shared" si="51"/>
        <v>87296.740000000034</v>
      </c>
      <c r="Y102" s="176">
        <f t="shared" si="51"/>
        <v>52235.94000000001</v>
      </c>
      <c r="Z102" s="176">
        <f t="shared" si="51"/>
        <v>69022.979999999967</v>
      </c>
      <c r="AA102" s="176">
        <f t="shared" si="51"/>
        <v>80829.72</v>
      </c>
      <c r="AB102" s="176">
        <f t="shared" si="51"/>
        <v>104993.70999999995</v>
      </c>
      <c r="AC102" s="176">
        <f t="shared" si="51"/>
        <v>117899.06999999998</v>
      </c>
      <c r="AD102" s="176">
        <f t="shared" si="51"/>
        <v>103054.69000000002</v>
      </c>
      <c r="AE102" s="176">
        <f t="shared" si="51"/>
        <v>78118.190000000031</v>
      </c>
      <c r="AF102" s="176">
        <f t="shared" si="51"/>
        <v>128763.84999999998</v>
      </c>
      <c r="AG102" s="176">
        <f t="shared" si="51"/>
        <v>123513.11</v>
      </c>
      <c r="AH102" s="176">
        <f t="shared" si="51"/>
        <v>136946.48000000001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198055.72</v>
      </c>
      <c r="D103" s="176">
        <f t="shared" si="52"/>
        <v>53405.270000000004</v>
      </c>
      <c r="E103" s="176">
        <f t="shared" si="52"/>
        <v>154077.46999999994</v>
      </c>
      <c r="F103" s="176">
        <f t="shared" si="52"/>
        <v>114340.20000000001</v>
      </c>
      <c r="G103" s="176">
        <f t="shared" si="52"/>
        <v>141935.57</v>
      </c>
      <c r="H103" s="176">
        <f t="shared" si="52"/>
        <v>63249.569999999971</v>
      </c>
      <c r="I103" s="176">
        <f t="shared" si="52"/>
        <v>58047.799999999996</v>
      </c>
      <c r="J103" s="176">
        <f t="shared" si="52"/>
        <v>67724.030000000013</v>
      </c>
      <c r="K103" s="176">
        <f t="shared" si="52"/>
        <v>41200.159999999996</v>
      </c>
      <c r="L103" s="176">
        <f t="shared" si="52"/>
        <v>106414.36999999997</v>
      </c>
      <c r="M103" s="176">
        <f t="shared" si="52"/>
        <v>76335.92</v>
      </c>
      <c r="N103" s="176">
        <f t="shared" si="52"/>
        <v>36124.800000000003</v>
      </c>
      <c r="O103" s="176">
        <f t="shared" si="52"/>
        <v>32096.500000000004</v>
      </c>
      <c r="P103" s="176">
        <f t="shared" si="52"/>
        <v>19092.370000000003</v>
      </c>
      <c r="Q103" s="176">
        <f t="shared" si="52"/>
        <v>19187.710000000003</v>
      </c>
      <c r="R103" s="176">
        <f t="shared" si="52"/>
        <v>12299.640000000001</v>
      </c>
      <c r="S103" s="176">
        <f t="shared" si="52"/>
        <v>47353.280000000013</v>
      </c>
      <c r="T103" s="176">
        <f t="shared" si="52"/>
        <v>60235.95</v>
      </c>
      <c r="U103" s="176">
        <f t="shared" si="52"/>
        <v>40612.92</v>
      </c>
      <c r="V103" s="176">
        <f t="shared" si="52"/>
        <v>21325.67</v>
      </c>
      <c r="W103" s="176">
        <f t="shared" si="52"/>
        <v>38110.799999999981</v>
      </c>
      <c r="X103" s="176">
        <f t="shared" si="52"/>
        <v>36673.060000000012</v>
      </c>
      <c r="Y103" s="176">
        <f t="shared" si="52"/>
        <v>22232.189999999995</v>
      </c>
      <c r="Z103" s="176">
        <f t="shared" si="52"/>
        <v>40985.969999999987</v>
      </c>
      <c r="AA103" s="176">
        <f t="shared" si="52"/>
        <v>31494.99</v>
      </c>
      <c r="AB103" s="176">
        <f t="shared" si="52"/>
        <v>33523.37000000001</v>
      </c>
      <c r="AC103" s="176">
        <f t="shared" si="52"/>
        <v>45258.220000000008</v>
      </c>
      <c r="AD103" s="176">
        <f t="shared" si="52"/>
        <v>26584.940000000002</v>
      </c>
      <c r="AE103" s="176">
        <f t="shared" si="52"/>
        <v>49736.140000000014</v>
      </c>
      <c r="AF103" s="176">
        <f t="shared" si="52"/>
        <v>25610.329999999994</v>
      </c>
      <c r="AG103" s="176">
        <f t="shared" si="52"/>
        <v>35030.54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31959.280000000002</v>
      </c>
      <c r="D104" s="176">
        <f t="shared" si="53"/>
        <v>75117.009999999995</v>
      </c>
      <c r="E104" s="176">
        <f t="shared" si="53"/>
        <v>93371.620000000039</v>
      </c>
      <c r="F104" s="176">
        <f t="shared" si="53"/>
        <v>52985.890000000007</v>
      </c>
      <c r="G104" s="176">
        <f t="shared" si="53"/>
        <v>37636.44000000001</v>
      </c>
      <c r="H104" s="176">
        <f t="shared" si="53"/>
        <v>38958.559999999998</v>
      </c>
      <c r="I104" s="176">
        <f t="shared" si="53"/>
        <v>25840.210000000006</v>
      </c>
      <c r="J104" s="176">
        <f t="shared" si="53"/>
        <v>25583.78000000001</v>
      </c>
      <c r="K104" s="176">
        <f t="shared" si="53"/>
        <v>31042.25</v>
      </c>
      <c r="L104" s="176">
        <f t="shared" si="53"/>
        <v>58860.079999999987</v>
      </c>
      <c r="M104" s="176">
        <f t="shared" si="53"/>
        <v>30932.009999999995</v>
      </c>
      <c r="N104" s="176">
        <f t="shared" si="53"/>
        <v>45651.359999999986</v>
      </c>
      <c r="O104" s="176">
        <f t="shared" si="53"/>
        <v>13924.229999999998</v>
      </c>
      <c r="P104" s="176">
        <f t="shared" si="53"/>
        <v>17608.25</v>
      </c>
      <c r="Q104" s="176">
        <f t="shared" si="53"/>
        <v>11069.369999999999</v>
      </c>
      <c r="R104" s="176">
        <f t="shared" si="53"/>
        <v>14499.360000000004</v>
      </c>
      <c r="S104" s="176">
        <f t="shared" si="53"/>
        <v>49244.87000000001</v>
      </c>
      <c r="T104" s="176">
        <f t="shared" si="53"/>
        <v>19416.280000000006</v>
      </c>
      <c r="U104" s="176">
        <f t="shared" si="53"/>
        <v>39648.770000000004</v>
      </c>
      <c r="V104" s="176">
        <f t="shared" si="53"/>
        <v>34297.379999999997</v>
      </c>
      <c r="W104" s="176">
        <f t="shared" si="53"/>
        <v>27206.739999999994</v>
      </c>
      <c r="X104" s="176">
        <f t="shared" si="53"/>
        <v>65218.44</v>
      </c>
      <c r="Y104" s="176">
        <f t="shared" si="53"/>
        <v>23787.80000000001</v>
      </c>
      <c r="Z104" s="176">
        <f t="shared" si="53"/>
        <v>35953.39</v>
      </c>
      <c r="AA104" s="176">
        <f t="shared" si="53"/>
        <v>30663.649999999994</v>
      </c>
      <c r="AB104" s="176">
        <f t="shared" si="53"/>
        <v>38753.680000000008</v>
      </c>
      <c r="AC104" s="176">
        <f t="shared" si="53"/>
        <v>22101.230000000003</v>
      </c>
      <c r="AD104" s="176">
        <f t="shared" si="53"/>
        <v>47666.499999999993</v>
      </c>
      <c r="AE104" s="176">
        <f t="shared" si="53"/>
        <v>26876.040000000012</v>
      </c>
      <c r="AF104" s="176">
        <f t="shared" si="53"/>
        <v>22227.510000000002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74047.179999999978</v>
      </c>
      <c r="D105" s="176">
        <f t="shared" si="54"/>
        <v>47144.840000000004</v>
      </c>
      <c r="E105" s="176">
        <f t="shared" si="54"/>
        <v>39638.240000000005</v>
      </c>
      <c r="F105" s="176">
        <f t="shared" si="54"/>
        <v>25109.039999999997</v>
      </c>
      <c r="G105" s="176">
        <f t="shared" si="54"/>
        <v>21355.999999999996</v>
      </c>
      <c r="H105" s="176">
        <f t="shared" si="54"/>
        <v>13032.349999999999</v>
      </c>
      <c r="I105" s="176">
        <f t="shared" si="54"/>
        <v>24728.689999999995</v>
      </c>
      <c r="J105" s="176">
        <f t="shared" si="54"/>
        <v>16262.239999999998</v>
      </c>
      <c r="K105" s="176">
        <f t="shared" si="54"/>
        <v>50949.38</v>
      </c>
      <c r="L105" s="176">
        <f t="shared" si="54"/>
        <v>40990.569999999985</v>
      </c>
      <c r="M105" s="176">
        <f t="shared" si="54"/>
        <v>94511.86</v>
      </c>
      <c r="N105" s="176">
        <f t="shared" si="54"/>
        <v>28496.279999999995</v>
      </c>
      <c r="O105" s="176">
        <f t="shared" si="54"/>
        <v>21007.799999999996</v>
      </c>
      <c r="P105" s="176">
        <f t="shared" si="54"/>
        <v>23290.400000000001</v>
      </c>
      <c r="Q105" s="176">
        <f t="shared" si="54"/>
        <v>9928.3699999999972</v>
      </c>
      <c r="R105" s="176">
        <f t="shared" si="54"/>
        <v>36682.43</v>
      </c>
      <c r="S105" s="176">
        <f t="shared" si="54"/>
        <v>28789.94</v>
      </c>
      <c r="T105" s="176">
        <f t="shared" si="54"/>
        <v>32279.419999999995</v>
      </c>
      <c r="U105" s="176">
        <f t="shared" si="54"/>
        <v>15232.619999999999</v>
      </c>
      <c r="V105" s="176">
        <f t="shared" si="54"/>
        <v>21219.4</v>
      </c>
      <c r="W105" s="176">
        <f t="shared" si="54"/>
        <v>19525.289999999997</v>
      </c>
      <c r="X105" s="176">
        <f t="shared" si="54"/>
        <v>32711.320000000003</v>
      </c>
      <c r="Y105" s="176">
        <f t="shared" si="54"/>
        <v>34816.020000000004</v>
      </c>
      <c r="Z105" s="176">
        <f t="shared" si="54"/>
        <v>33525.939999999995</v>
      </c>
      <c r="AA105" s="176">
        <f t="shared" si="54"/>
        <v>30104.070000000003</v>
      </c>
      <c r="AB105" s="176">
        <f t="shared" si="54"/>
        <v>27965.000000000004</v>
      </c>
      <c r="AC105" s="176">
        <f t="shared" si="54"/>
        <v>41088.57</v>
      </c>
      <c r="AD105" s="176">
        <f t="shared" si="54"/>
        <v>25947.559999999998</v>
      </c>
      <c r="AE105" s="176">
        <f t="shared" si="54"/>
        <v>29140.390000000003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43781.30999999999</v>
      </c>
      <c r="D106" s="176">
        <f t="shared" si="55"/>
        <v>12368.089999999997</v>
      </c>
      <c r="E106" s="176">
        <f t="shared" si="55"/>
        <v>38984.449999999997</v>
      </c>
      <c r="F106" s="176">
        <f t="shared" si="55"/>
        <v>21526.02</v>
      </c>
      <c r="G106" s="176">
        <f t="shared" si="55"/>
        <v>6935.3399999999983</v>
      </c>
      <c r="H106" s="176">
        <f t="shared" si="55"/>
        <v>28741.890000000014</v>
      </c>
      <c r="I106" s="176">
        <f t="shared" si="55"/>
        <v>20223.810000000005</v>
      </c>
      <c r="J106" s="176">
        <f t="shared" si="55"/>
        <v>28050.540000000005</v>
      </c>
      <c r="K106" s="176">
        <f t="shared" si="55"/>
        <v>29333.230000000003</v>
      </c>
      <c r="L106" s="176">
        <f t="shared" si="55"/>
        <v>36985.950000000012</v>
      </c>
      <c r="M106" s="176">
        <f t="shared" si="55"/>
        <v>45862.49</v>
      </c>
      <c r="N106" s="176">
        <f t="shared" si="55"/>
        <v>28121.08</v>
      </c>
      <c r="O106" s="176">
        <f t="shared" si="55"/>
        <v>12727.11</v>
      </c>
      <c r="P106" s="176">
        <f t="shared" si="55"/>
        <v>18835.110000000004</v>
      </c>
      <c r="Q106" s="176">
        <f t="shared" si="55"/>
        <v>33990.810000000005</v>
      </c>
      <c r="R106" s="176">
        <f t="shared" si="55"/>
        <v>27998.38</v>
      </c>
      <c r="S106" s="176">
        <f t="shared" si="55"/>
        <v>25763.319999999996</v>
      </c>
      <c r="T106" s="176">
        <f t="shared" si="55"/>
        <v>17254.399999999998</v>
      </c>
      <c r="U106" s="176">
        <f t="shared" si="55"/>
        <v>18009.639999999996</v>
      </c>
      <c r="V106" s="176">
        <f t="shared" si="55"/>
        <v>19149.060000000001</v>
      </c>
      <c r="W106" s="176">
        <f t="shared" si="55"/>
        <v>14456.329999999998</v>
      </c>
      <c r="X106" s="176">
        <f t="shared" si="55"/>
        <v>31347.700000000008</v>
      </c>
      <c r="Y106" s="176">
        <f t="shared" si="55"/>
        <v>13085.02</v>
      </c>
      <c r="Z106" s="176">
        <f t="shared" si="55"/>
        <v>26397.639999999989</v>
      </c>
      <c r="AA106" s="176">
        <f t="shared" si="55"/>
        <v>26432.86</v>
      </c>
      <c r="AB106" s="176">
        <f t="shared" si="55"/>
        <v>45240.48000000001</v>
      </c>
      <c r="AC106" s="176">
        <f t="shared" si="55"/>
        <v>21076.190000000002</v>
      </c>
      <c r="AD106" s="176">
        <f t="shared" si="55"/>
        <v>18846.36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39472.780000000006</v>
      </c>
      <c r="D107" s="176">
        <f t="shared" si="56"/>
        <v>19105.639999999996</v>
      </c>
      <c r="E107" s="176">
        <f t="shared" si="56"/>
        <v>11281.51</v>
      </c>
      <c r="F107" s="176">
        <f t="shared" si="56"/>
        <v>4123.079999999999</v>
      </c>
      <c r="G107" s="176">
        <f t="shared" si="56"/>
        <v>8994.0000000000018</v>
      </c>
      <c r="H107" s="176">
        <f t="shared" si="56"/>
        <v>14170.66</v>
      </c>
      <c r="I107" s="176">
        <f t="shared" si="56"/>
        <v>61775.850000000013</v>
      </c>
      <c r="J107" s="176">
        <f t="shared" si="56"/>
        <v>19071.910000000007</v>
      </c>
      <c r="K107" s="176">
        <f t="shared" si="56"/>
        <v>44957.5</v>
      </c>
      <c r="L107" s="176">
        <f t="shared" si="56"/>
        <v>19200.04</v>
      </c>
      <c r="M107" s="176">
        <f t="shared" si="56"/>
        <v>16472.689999999995</v>
      </c>
      <c r="N107" s="176">
        <f t="shared" si="56"/>
        <v>6723.9</v>
      </c>
      <c r="O107" s="176">
        <f t="shared" si="56"/>
        <v>12633.760000000002</v>
      </c>
      <c r="P107" s="176">
        <f t="shared" si="56"/>
        <v>19774.34</v>
      </c>
      <c r="Q107" s="176">
        <f t="shared" si="56"/>
        <v>25174.190000000002</v>
      </c>
      <c r="R107" s="176">
        <f t="shared" si="56"/>
        <v>14559.220000000003</v>
      </c>
      <c r="S107" s="176">
        <f t="shared" si="56"/>
        <v>14520.230000000007</v>
      </c>
      <c r="T107" s="176">
        <f t="shared" si="56"/>
        <v>5692.1100000000024</v>
      </c>
      <c r="U107" s="176">
        <f t="shared" si="56"/>
        <v>18097.319999999996</v>
      </c>
      <c r="V107" s="176">
        <f t="shared" si="56"/>
        <v>13039.99</v>
      </c>
      <c r="W107" s="176">
        <f t="shared" si="56"/>
        <v>22389.910000000003</v>
      </c>
      <c r="X107" s="176">
        <f t="shared" si="56"/>
        <v>9396.5499999999993</v>
      </c>
      <c r="Y107" s="176">
        <f t="shared" si="56"/>
        <v>16483.96</v>
      </c>
      <c r="Z107" s="176">
        <f t="shared" si="56"/>
        <v>21043.129999999994</v>
      </c>
      <c r="AA107" s="176">
        <f t="shared" si="56"/>
        <v>26994.069999999996</v>
      </c>
      <c r="AB107" s="176">
        <f t="shared" si="56"/>
        <v>19219.529999999995</v>
      </c>
      <c r="AC107" s="176">
        <f t="shared" si="56"/>
        <v>34768.660000000003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8895.67</v>
      </c>
      <c r="D108" s="176">
        <f t="shared" si="57"/>
        <v>9403.3200000000015</v>
      </c>
      <c r="E108" s="176">
        <f t="shared" si="57"/>
        <v>2920.2299999999996</v>
      </c>
      <c r="F108" s="176">
        <f t="shared" si="57"/>
        <v>4939.0999999999995</v>
      </c>
      <c r="G108" s="176">
        <f t="shared" si="57"/>
        <v>10781.259999999998</v>
      </c>
      <c r="H108" s="176">
        <f t="shared" si="57"/>
        <v>30039.850000000006</v>
      </c>
      <c r="I108" s="176">
        <f t="shared" si="57"/>
        <v>13475.929999999998</v>
      </c>
      <c r="J108" s="176">
        <f t="shared" si="57"/>
        <v>13948.520000000004</v>
      </c>
      <c r="K108" s="176">
        <f t="shared" si="57"/>
        <v>27011.260000000002</v>
      </c>
      <c r="L108" s="176">
        <f t="shared" si="57"/>
        <v>12708.76</v>
      </c>
      <c r="M108" s="176">
        <f t="shared" si="57"/>
        <v>4879.87</v>
      </c>
      <c r="N108" s="176">
        <f t="shared" si="57"/>
        <v>10697.61</v>
      </c>
      <c r="O108" s="176">
        <f t="shared" si="57"/>
        <v>13742.27</v>
      </c>
      <c r="P108" s="176">
        <f t="shared" si="57"/>
        <v>22750.080000000002</v>
      </c>
      <c r="Q108" s="176">
        <f t="shared" si="57"/>
        <v>25970.750000000004</v>
      </c>
      <c r="R108" s="176">
        <f t="shared" si="57"/>
        <v>5271.35</v>
      </c>
      <c r="S108" s="176">
        <f t="shared" si="57"/>
        <v>4562.78</v>
      </c>
      <c r="T108" s="176">
        <f t="shared" si="57"/>
        <v>15436.55</v>
      </c>
      <c r="U108" s="176">
        <f t="shared" si="57"/>
        <v>28707.050000000003</v>
      </c>
      <c r="V108" s="176">
        <f t="shared" si="57"/>
        <v>18965.659999999996</v>
      </c>
      <c r="W108" s="176">
        <f t="shared" si="57"/>
        <v>11168.390000000003</v>
      </c>
      <c r="X108" s="176">
        <f t="shared" si="57"/>
        <v>19407.45</v>
      </c>
      <c r="Y108" s="176">
        <f t="shared" si="57"/>
        <v>19501.349999999999</v>
      </c>
      <c r="Z108" s="176">
        <f t="shared" si="57"/>
        <v>13574.059999999998</v>
      </c>
      <c r="AA108" s="176">
        <f t="shared" si="57"/>
        <v>14361.070000000005</v>
      </c>
      <c r="AB108" s="176">
        <f t="shared" si="57"/>
        <v>28915.619999999992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11252.31</v>
      </c>
      <c r="D109" s="176">
        <f t="shared" si="58"/>
        <v>6336.65</v>
      </c>
      <c r="E109" s="176">
        <f t="shared" si="58"/>
        <v>3295.63</v>
      </c>
      <c r="F109" s="176">
        <f t="shared" si="58"/>
        <v>5969.7500000000009</v>
      </c>
      <c r="G109" s="176">
        <f t="shared" si="58"/>
        <v>50084.69999999999</v>
      </c>
      <c r="H109" s="176">
        <f t="shared" si="58"/>
        <v>6847.9900000000016</v>
      </c>
      <c r="I109" s="176">
        <f t="shared" si="58"/>
        <v>21761.280000000002</v>
      </c>
      <c r="J109" s="176">
        <f t="shared" si="58"/>
        <v>13829.389999999998</v>
      </c>
      <c r="K109" s="176">
        <f t="shared" si="58"/>
        <v>19217.739999999994</v>
      </c>
      <c r="L109" s="176">
        <f t="shared" si="58"/>
        <v>9620.2900000000027</v>
      </c>
      <c r="M109" s="176">
        <f t="shared" si="58"/>
        <v>8058.8600000000006</v>
      </c>
      <c r="N109" s="176">
        <f t="shared" si="58"/>
        <v>20439.580000000002</v>
      </c>
      <c r="O109" s="176">
        <f t="shared" si="58"/>
        <v>12053.140000000003</v>
      </c>
      <c r="P109" s="176">
        <f t="shared" si="58"/>
        <v>17699.89</v>
      </c>
      <c r="Q109" s="176">
        <f t="shared" si="58"/>
        <v>2082.83</v>
      </c>
      <c r="R109" s="176">
        <f t="shared" si="58"/>
        <v>4870.0900000000011</v>
      </c>
      <c r="S109" s="176">
        <f t="shared" si="58"/>
        <v>20944.61</v>
      </c>
      <c r="T109" s="176">
        <f t="shared" si="58"/>
        <v>12698.53</v>
      </c>
      <c r="U109" s="176">
        <f t="shared" si="58"/>
        <v>15961.320000000002</v>
      </c>
      <c r="V109" s="176">
        <f t="shared" si="58"/>
        <v>11752.339999999998</v>
      </c>
      <c r="W109" s="176">
        <f t="shared" si="58"/>
        <v>14727.560000000001</v>
      </c>
      <c r="X109" s="176">
        <f t="shared" si="58"/>
        <v>22319.21</v>
      </c>
      <c r="Y109" s="176">
        <f t="shared" si="58"/>
        <v>11188.879999999997</v>
      </c>
      <c r="Z109" s="176">
        <f t="shared" si="58"/>
        <v>12190.510000000004</v>
      </c>
      <c r="AA109" s="176">
        <f t="shared" si="58"/>
        <v>14483.329999999998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3268.9300000000003</v>
      </c>
      <c r="D110" s="176">
        <f t="shared" si="59"/>
        <v>6336.48</v>
      </c>
      <c r="E110" s="176">
        <f t="shared" si="59"/>
        <v>15587.97</v>
      </c>
      <c r="F110" s="176">
        <f t="shared" si="59"/>
        <v>23243.149999999998</v>
      </c>
      <c r="G110" s="176">
        <f t="shared" si="59"/>
        <v>11820.44</v>
      </c>
      <c r="H110" s="176">
        <f t="shared" si="59"/>
        <v>42603.600000000006</v>
      </c>
      <c r="I110" s="176">
        <f t="shared" si="59"/>
        <v>19051.560000000009</v>
      </c>
      <c r="J110" s="176">
        <f t="shared" si="59"/>
        <v>9171.630000000001</v>
      </c>
      <c r="K110" s="176">
        <f t="shared" si="59"/>
        <v>13513.050000000001</v>
      </c>
      <c r="L110" s="176">
        <f t="shared" si="59"/>
        <v>17459.53</v>
      </c>
      <c r="M110" s="176">
        <f t="shared" si="59"/>
        <v>11877.829999999998</v>
      </c>
      <c r="N110" s="176">
        <f t="shared" si="59"/>
        <v>4254.8500000000004</v>
      </c>
      <c r="O110" s="176">
        <f t="shared" si="59"/>
        <v>18926.7</v>
      </c>
      <c r="P110" s="176">
        <f t="shared" si="59"/>
        <v>4064.5599999999995</v>
      </c>
      <c r="Q110" s="176">
        <f t="shared" si="59"/>
        <v>2410.71</v>
      </c>
      <c r="R110" s="176">
        <f t="shared" si="59"/>
        <v>7580.16</v>
      </c>
      <c r="S110" s="176">
        <f t="shared" si="59"/>
        <v>7367.7799999999988</v>
      </c>
      <c r="T110" s="176">
        <f t="shared" si="59"/>
        <v>15775.129999999997</v>
      </c>
      <c r="U110" s="176">
        <f t="shared" si="59"/>
        <v>9449.4499999999989</v>
      </c>
      <c r="V110" s="176">
        <f t="shared" si="59"/>
        <v>15228.46</v>
      </c>
      <c r="W110" s="176">
        <f t="shared" si="59"/>
        <v>10162.01</v>
      </c>
      <c r="X110" s="176">
        <f t="shared" si="59"/>
        <v>7641.1900000000014</v>
      </c>
      <c r="Y110" s="176">
        <f t="shared" si="59"/>
        <v>12953.27</v>
      </c>
      <c r="Z110" s="176">
        <f t="shared" si="59"/>
        <v>14533.269999999997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6294.8899999999994</v>
      </c>
      <c r="D111" s="176">
        <f t="shared" si="60"/>
        <v>11168.960000000001</v>
      </c>
      <c r="E111" s="176">
        <f t="shared" si="60"/>
        <v>59126.539999999994</v>
      </c>
      <c r="F111" s="176">
        <f t="shared" si="60"/>
        <v>6957.96</v>
      </c>
      <c r="G111" s="176">
        <f t="shared" si="60"/>
        <v>24751.42</v>
      </c>
      <c r="H111" s="176">
        <f t="shared" si="60"/>
        <v>44099.85</v>
      </c>
      <c r="I111" s="176">
        <f t="shared" si="60"/>
        <v>9036.3499999999985</v>
      </c>
      <c r="J111" s="176">
        <f t="shared" si="60"/>
        <v>5311.369999999999</v>
      </c>
      <c r="K111" s="176">
        <f t="shared" si="60"/>
        <v>20562.139999999996</v>
      </c>
      <c r="L111" s="176">
        <f t="shared" si="60"/>
        <v>41222.170000000006</v>
      </c>
      <c r="M111" s="176">
        <f t="shared" si="60"/>
        <v>15210.000000000002</v>
      </c>
      <c r="N111" s="176">
        <f t="shared" si="60"/>
        <v>15214.49</v>
      </c>
      <c r="O111" s="176">
        <f t="shared" si="60"/>
        <v>1578.7900000000002</v>
      </c>
      <c r="P111" s="176">
        <f t="shared" si="60"/>
        <v>724.05000000000007</v>
      </c>
      <c r="Q111" s="176">
        <f t="shared" si="60"/>
        <v>2026.5399999999997</v>
      </c>
      <c r="R111" s="176">
        <f t="shared" si="60"/>
        <v>13979.130000000001</v>
      </c>
      <c r="S111" s="176">
        <f t="shared" si="60"/>
        <v>10732.5</v>
      </c>
      <c r="T111" s="176">
        <f t="shared" si="60"/>
        <v>1977.4800000000002</v>
      </c>
      <c r="U111" s="176">
        <f t="shared" si="60"/>
        <v>15484.03</v>
      </c>
      <c r="V111" s="176">
        <f t="shared" si="60"/>
        <v>11292.240000000002</v>
      </c>
      <c r="W111" s="176">
        <f t="shared" si="60"/>
        <v>12597.85</v>
      </c>
      <c r="X111" s="176">
        <f t="shared" si="60"/>
        <v>10051.619999999999</v>
      </c>
      <c r="Y111" s="176">
        <f t="shared" si="60"/>
        <v>12158.550000000001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7777.39</v>
      </c>
      <c r="D112" s="176">
        <f t="shared" si="61"/>
        <v>48899.97</v>
      </c>
      <c r="E112" s="176">
        <f t="shared" si="61"/>
        <v>4278.369999999999</v>
      </c>
      <c r="F112" s="176">
        <f t="shared" si="61"/>
        <v>35005.589999999997</v>
      </c>
      <c r="G112" s="176">
        <f t="shared" si="61"/>
        <v>47072.590000000004</v>
      </c>
      <c r="H112" s="176">
        <f t="shared" si="61"/>
        <v>2278.4700000000003</v>
      </c>
      <c r="I112" s="176">
        <f t="shared" si="61"/>
        <v>1205.3200000000002</v>
      </c>
      <c r="J112" s="176">
        <f t="shared" si="61"/>
        <v>10142.18</v>
      </c>
      <c r="K112" s="176">
        <f t="shared" si="61"/>
        <v>15351.199999999999</v>
      </c>
      <c r="L112" s="176">
        <f t="shared" si="61"/>
        <v>11454.650000000003</v>
      </c>
      <c r="M112" s="176">
        <f t="shared" si="61"/>
        <v>17859.16</v>
      </c>
      <c r="N112" s="176">
        <f t="shared" si="61"/>
        <v>2279.08</v>
      </c>
      <c r="O112" s="176">
        <f t="shared" si="61"/>
        <v>10634.67</v>
      </c>
      <c r="P112" s="176">
        <f t="shared" si="61"/>
        <v>2078.48</v>
      </c>
      <c r="Q112" s="176">
        <f t="shared" si="61"/>
        <v>26906.44</v>
      </c>
      <c r="R112" s="176">
        <f t="shared" si="61"/>
        <v>661.97</v>
      </c>
      <c r="S112" s="176">
        <f t="shared" si="61"/>
        <v>1714.7600000000002</v>
      </c>
      <c r="T112" s="176">
        <f t="shared" si="61"/>
        <v>4629.37</v>
      </c>
      <c r="U112" s="176">
        <f t="shared" si="61"/>
        <v>23119.040000000001</v>
      </c>
      <c r="V112" s="176">
        <f t="shared" si="61"/>
        <v>10204.549999999999</v>
      </c>
      <c r="W112" s="176">
        <f t="shared" si="61"/>
        <v>3095.31</v>
      </c>
      <c r="X112" s="176">
        <f t="shared" si="61"/>
        <v>13298.269999999999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20833.170000000002</v>
      </c>
      <c r="D113" s="176">
        <f t="shared" si="62"/>
        <v>3827.69</v>
      </c>
      <c r="E113" s="176">
        <f t="shared" si="62"/>
        <v>34365.949999999997</v>
      </c>
      <c r="F113" s="176">
        <f t="shared" si="62"/>
        <v>14817.7</v>
      </c>
      <c r="G113" s="176">
        <f t="shared" si="62"/>
        <v>1134.4100000000001</v>
      </c>
      <c r="H113" s="176">
        <f t="shared" si="62"/>
        <v>3395.1400000000003</v>
      </c>
      <c r="I113" s="176">
        <f t="shared" si="62"/>
        <v>7097.6</v>
      </c>
      <c r="J113" s="176">
        <f t="shared" si="62"/>
        <v>21358.07</v>
      </c>
      <c r="K113" s="176">
        <f t="shared" si="62"/>
        <v>1710.17</v>
      </c>
      <c r="L113" s="176">
        <f t="shared" si="62"/>
        <v>3322.6200000000003</v>
      </c>
      <c r="M113" s="176">
        <f t="shared" si="62"/>
        <v>16582.34</v>
      </c>
      <c r="N113" s="176">
        <f t="shared" si="62"/>
        <v>1116.3600000000001</v>
      </c>
      <c r="O113" s="176">
        <f t="shared" si="62"/>
        <v>3142.97</v>
      </c>
      <c r="P113" s="176">
        <f t="shared" si="62"/>
        <v>3193.3099999999995</v>
      </c>
      <c r="Q113" s="176">
        <f t="shared" si="62"/>
        <v>6401.13</v>
      </c>
      <c r="R113" s="176">
        <f t="shared" si="62"/>
        <v>872.72</v>
      </c>
      <c r="S113" s="176">
        <f t="shared" si="62"/>
        <v>4841.45</v>
      </c>
      <c r="T113" s="176">
        <f t="shared" si="62"/>
        <v>16563.28</v>
      </c>
      <c r="U113" s="176">
        <f t="shared" si="62"/>
        <v>5418.119999999999</v>
      </c>
      <c r="V113" s="176">
        <f t="shared" si="62"/>
        <v>565.95000000000005</v>
      </c>
      <c r="W113" s="176">
        <f t="shared" si="62"/>
        <v>7561.64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8815.2599999999984</v>
      </c>
      <c r="D114" s="176">
        <f t="shared" si="63"/>
        <v>15093.529999999997</v>
      </c>
      <c r="E114" s="176">
        <f t="shared" si="63"/>
        <v>28572.720000000001</v>
      </c>
      <c r="F114" s="176">
        <f t="shared" si="63"/>
        <v>871.5</v>
      </c>
      <c r="G114" s="176">
        <f t="shared" si="63"/>
        <v>1392.37</v>
      </c>
      <c r="H114" s="176">
        <f t="shared" si="63"/>
        <v>1228.19</v>
      </c>
      <c r="I114" s="176">
        <f t="shared" si="63"/>
        <v>13418.929999999998</v>
      </c>
      <c r="J114" s="176">
        <f t="shared" si="63"/>
        <v>2685.75</v>
      </c>
      <c r="K114" s="176">
        <f t="shared" si="63"/>
        <v>841.43000000000006</v>
      </c>
      <c r="L114" s="176">
        <f t="shared" si="63"/>
        <v>1669.37</v>
      </c>
      <c r="M114" s="176">
        <f t="shared" si="63"/>
        <v>3991.52</v>
      </c>
      <c r="N114" s="176">
        <f t="shared" si="63"/>
        <v>9114.43</v>
      </c>
      <c r="O114" s="176">
        <f t="shared" si="63"/>
        <v>10371.470000000001</v>
      </c>
      <c r="P114" s="176">
        <f t="shared" si="63"/>
        <v>8680</v>
      </c>
      <c r="Q114" s="176">
        <f t="shared" si="63"/>
        <v>115.89</v>
      </c>
      <c r="R114" s="176">
        <f t="shared" si="63"/>
        <v>6872.3099999999995</v>
      </c>
      <c r="S114" s="176">
        <f t="shared" si="63"/>
        <v>4495.5700000000006</v>
      </c>
      <c r="T114" s="176">
        <f t="shared" si="63"/>
        <v>1752.68</v>
      </c>
      <c r="U114" s="176">
        <f t="shared" si="63"/>
        <v>1917.7999999999997</v>
      </c>
      <c r="V114" s="176">
        <f t="shared" si="63"/>
        <v>332.08000000000004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19030.739999999998</v>
      </c>
      <c r="D115" s="176">
        <f t="shared" si="64"/>
        <v>36746.39</v>
      </c>
      <c r="E115" s="176">
        <f t="shared" si="64"/>
        <v>856.82999999999993</v>
      </c>
      <c r="F115" s="176">
        <f t="shared" si="64"/>
        <v>40</v>
      </c>
      <c r="G115" s="176">
        <f t="shared" si="64"/>
        <v>26094.35</v>
      </c>
      <c r="H115" s="176">
        <f t="shared" si="64"/>
        <v>22836.940000000002</v>
      </c>
      <c r="I115" s="176">
        <f t="shared" si="64"/>
        <v>3219.06</v>
      </c>
      <c r="J115" s="176">
        <f t="shared" si="64"/>
        <v>1698.9699999999998</v>
      </c>
      <c r="K115" s="176">
        <f t="shared" si="64"/>
        <v>347.46000000000004</v>
      </c>
      <c r="L115" s="176">
        <f t="shared" si="64"/>
        <v>980.18000000000006</v>
      </c>
      <c r="M115" s="176">
        <f t="shared" si="64"/>
        <v>13452</v>
      </c>
      <c r="N115" s="176">
        <f t="shared" si="64"/>
        <v>969.01999999999987</v>
      </c>
      <c r="O115" s="176">
        <f t="shared" si="64"/>
        <v>10132.76</v>
      </c>
      <c r="P115" s="176">
        <f t="shared" si="64"/>
        <v>101</v>
      </c>
      <c r="Q115" s="176">
        <f t="shared" si="64"/>
        <v>2985.63</v>
      </c>
      <c r="R115" s="176">
        <f t="shared" si="64"/>
        <v>11135.6</v>
      </c>
      <c r="S115" s="176">
        <f t="shared" si="64"/>
        <v>2332.2099999999996</v>
      </c>
      <c r="T115" s="176">
        <f t="shared" si="64"/>
        <v>862.1</v>
      </c>
      <c r="U115" s="176">
        <f t="shared" si="64"/>
        <v>714.68999999999994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40723.019999999997</v>
      </c>
      <c r="D116" s="176">
        <f t="shared" si="65"/>
        <v>1172.25</v>
      </c>
      <c r="E116" s="176">
        <f t="shared" si="65"/>
        <v>955.33</v>
      </c>
      <c r="F116" s="176">
        <f t="shared" si="65"/>
        <v>9211.52</v>
      </c>
      <c r="G116" s="176">
        <f t="shared" si="65"/>
        <v>271.63</v>
      </c>
      <c r="H116" s="176">
        <f t="shared" si="65"/>
        <v>1419.82</v>
      </c>
      <c r="I116" s="176">
        <f t="shared" si="65"/>
        <v>1941.73</v>
      </c>
      <c r="J116" s="176">
        <f t="shared" si="65"/>
        <v>3567.17</v>
      </c>
      <c r="K116" s="176">
        <f t="shared" si="65"/>
        <v>886</v>
      </c>
      <c r="L116" s="176">
        <f t="shared" si="65"/>
        <v>572.62</v>
      </c>
      <c r="M116" s="176">
        <f t="shared" si="65"/>
        <v>10956.83</v>
      </c>
      <c r="N116" s="176">
        <f t="shared" si="65"/>
        <v>7124.21</v>
      </c>
      <c r="O116" s="176">
        <f t="shared" si="65"/>
        <v>190.97</v>
      </c>
      <c r="P116" s="176">
        <f t="shared" si="65"/>
        <v>2265.5500000000002</v>
      </c>
      <c r="Q116" s="176">
        <f t="shared" si="65"/>
        <v>168.27</v>
      </c>
      <c r="R116" s="176">
        <f t="shared" si="65"/>
        <v>19904.21</v>
      </c>
      <c r="S116" s="176">
        <f t="shared" si="65"/>
        <v>1660.2799999999997</v>
      </c>
      <c r="T116" s="176">
        <f t="shared" si="65"/>
        <v>138.08000000000001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600</v>
      </c>
      <c r="D117" s="176">
        <f t="shared" si="66"/>
        <v>5344.6</v>
      </c>
      <c r="E117" s="176">
        <f t="shared" si="66"/>
        <v>0</v>
      </c>
      <c r="F117" s="176">
        <f t="shared" si="66"/>
        <v>16114.15</v>
      </c>
      <c r="G117" s="176">
        <f t="shared" si="66"/>
        <v>2261.0300000000002</v>
      </c>
      <c r="H117" s="176">
        <f t="shared" si="66"/>
        <v>2362.0300000000002</v>
      </c>
      <c r="I117" s="176">
        <f t="shared" si="66"/>
        <v>0</v>
      </c>
      <c r="J117" s="176">
        <f t="shared" si="66"/>
        <v>357.12</v>
      </c>
      <c r="K117" s="176">
        <f t="shared" si="66"/>
        <v>76.03</v>
      </c>
      <c r="L117" s="176">
        <f t="shared" si="66"/>
        <v>3619.4</v>
      </c>
      <c r="M117" s="176">
        <f t="shared" si="66"/>
        <v>5930.16</v>
      </c>
      <c r="N117" s="176">
        <f t="shared" si="66"/>
        <v>871.18</v>
      </c>
      <c r="O117" s="176">
        <f t="shared" si="66"/>
        <v>5023.4599999999991</v>
      </c>
      <c r="P117" s="176">
        <f t="shared" si="66"/>
        <v>5497.13</v>
      </c>
      <c r="Q117" s="176">
        <f t="shared" si="66"/>
        <v>1494.12</v>
      </c>
      <c r="R117" s="176">
        <f t="shared" si="66"/>
        <v>1257.01</v>
      </c>
      <c r="S117" s="176">
        <f t="shared" si="66"/>
        <v>513.48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1461.8899999999999</v>
      </c>
      <c r="D118" s="176">
        <f t="shared" si="67"/>
        <v>11964.130000000001</v>
      </c>
      <c r="E118" s="176">
        <f t="shared" si="67"/>
        <v>7504.2</v>
      </c>
      <c r="F118" s="176">
        <f t="shared" si="67"/>
        <v>2232.15</v>
      </c>
      <c r="G118" s="176">
        <f t="shared" si="67"/>
        <v>901.88</v>
      </c>
      <c r="H118" s="176">
        <f t="shared" si="67"/>
        <v>0</v>
      </c>
      <c r="I118" s="176">
        <f t="shared" si="67"/>
        <v>200</v>
      </c>
      <c r="J118" s="176">
        <f t="shared" si="67"/>
        <v>0</v>
      </c>
      <c r="K118" s="176">
        <f t="shared" si="67"/>
        <v>0</v>
      </c>
      <c r="L118" s="176">
        <f t="shared" si="67"/>
        <v>5677.34</v>
      </c>
      <c r="M118" s="176">
        <f t="shared" si="67"/>
        <v>1080.5899999999999</v>
      </c>
      <c r="N118" s="176">
        <f t="shared" si="67"/>
        <v>2161.7399999999998</v>
      </c>
      <c r="O118" s="176">
        <f t="shared" si="67"/>
        <v>7641.9</v>
      </c>
      <c r="P118" s="176">
        <f t="shared" si="67"/>
        <v>1494.22</v>
      </c>
      <c r="Q118" s="176">
        <f t="shared" si="67"/>
        <v>498.36</v>
      </c>
      <c r="R118" s="176">
        <f t="shared" si="67"/>
        <v>807.74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3378</v>
      </c>
      <c r="D119" s="176">
        <f t="shared" si="68"/>
        <v>17851.489999999998</v>
      </c>
      <c r="E119" s="176">
        <f t="shared" si="68"/>
        <v>1135.97</v>
      </c>
      <c r="F119" s="176">
        <f t="shared" si="68"/>
        <v>7472.83</v>
      </c>
      <c r="G119" s="176">
        <f t="shared" si="68"/>
        <v>36.14</v>
      </c>
      <c r="H119" s="176">
        <f t="shared" si="68"/>
        <v>233.07</v>
      </c>
      <c r="I119" s="176">
        <f t="shared" si="68"/>
        <v>4796.7</v>
      </c>
      <c r="J119" s="176">
        <f t="shared" si="68"/>
        <v>0</v>
      </c>
      <c r="K119" s="176">
        <f t="shared" si="68"/>
        <v>2766.7</v>
      </c>
      <c r="L119" s="176">
        <f t="shared" si="68"/>
        <v>311.17</v>
      </c>
      <c r="M119" s="176">
        <f t="shared" si="68"/>
        <v>1080.01</v>
      </c>
      <c r="N119" s="176">
        <f t="shared" si="68"/>
        <v>7821.82</v>
      </c>
      <c r="O119" s="176">
        <f t="shared" si="68"/>
        <v>579.77</v>
      </c>
      <c r="P119" s="176">
        <f t="shared" si="68"/>
        <v>142.31</v>
      </c>
      <c r="Q119" s="176">
        <f t="shared" si="68"/>
        <v>880.2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1606.2</v>
      </c>
      <c r="D120" s="176">
        <f t="shared" si="69"/>
        <v>125.78</v>
      </c>
      <c r="E120" s="176">
        <f t="shared" si="69"/>
        <v>7050.24</v>
      </c>
      <c r="F120" s="176">
        <f t="shared" si="69"/>
        <v>0</v>
      </c>
      <c r="G120" s="176">
        <f t="shared" si="69"/>
        <v>300</v>
      </c>
      <c r="H120" s="176">
        <f t="shared" si="69"/>
        <v>204</v>
      </c>
      <c r="I120" s="176">
        <f t="shared" si="69"/>
        <v>293.60000000000002</v>
      </c>
      <c r="J120" s="176">
        <f t="shared" si="69"/>
        <v>707.4</v>
      </c>
      <c r="K120" s="176">
        <f t="shared" si="69"/>
        <v>0</v>
      </c>
      <c r="L120" s="176">
        <f t="shared" si="69"/>
        <v>1995.8</v>
      </c>
      <c r="M120" s="176">
        <f t="shared" si="69"/>
        <v>100</v>
      </c>
      <c r="N120" s="176">
        <f t="shared" si="69"/>
        <v>4912.0300000000007</v>
      </c>
      <c r="O120" s="176">
        <f t="shared" si="69"/>
        <v>1477.35</v>
      </c>
      <c r="P120" s="176">
        <f t="shared" si="69"/>
        <v>0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200</v>
      </c>
      <c r="D121" s="176">
        <f t="shared" si="70"/>
        <v>7631.4699999999993</v>
      </c>
      <c r="E121" s="176">
        <f t="shared" si="70"/>
        <v>5912.54</v>
      </c>
      <c r="F121" s="176">
        <f t="shared" si="70"/>
        <v>300</v>
      </c>
      <c r="G121" s="176">
        <f t="shared" si="70"/>
        <v>4846.67</v>
      </c>
      <c r="H121" s="176">
        <f t="shared" si="70"/>
        <v>53.06</v>
      </c>
      <c r="I121" s="176">
        <f t="shared" si="70"/>
        <v>203.54</v>
      </c>
      <c r="J121" s="176">
        <f t="shared" si="70"/>
        <v>0</v>
      </c>
      <c r="K121" s="176">
        <f t="shared" si="70"/>
        <v>2287.96</v>
      </c>
      <c r="L121" s="176">
        <f t="shared" si="70"/>
        <v>434.47</v>
      </c>
      <c r="M121" s="176">
        <f t="shared" si="70"/>
        <v>5676.4400000000005</v>
      </c>
      <c r="N121" s="176">
        <f t="shared" si="70"/>
        <v>967.87999999999988</v>
      </c>
      <c r="O121" s="176">
        <f t="shared" si="70"/>
        <v>756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283.21999999999997</v>
      </c>
      <c r="D122" s="176">
        <f t="shared" si="71"/>
        <v>5850</v>
      </c>
      <c r="E122" s="176">
        <f t="shared" si="71"/>
        <v>0</v>
      </c>
      <c r="F122" s="176">
        <f t="shared" si="71"/>
        <v>48</v>
      </c>
      <c r="G122" s="176">
        <f t="shared" si="71"/>
        <v>33.86</v>
      </c>
      <c r="H122" s="176">
        <f t="shared" si="71"/>
        <v>171.56</v>
      </c>
      <c r="I122" s="176">
        <f t="shared" si="71"/>
        <v>1998.11</v>
      </c>
      <c r="J122" s="176">
        <f t="shared" si="71"/>
        <v>4546.5600000000004</v>
      </c>
      <c r="K122" s="176">
        <f t="shared" si="71"/>
        <v>625.58000000000004</v>
      </c>
      <c r="L122" s="176">
        <f t="shared" si="71"/>
        <v>24195.91</v>
      </c>
      <c r="M122" s="176">
        <f t="shared" si="71"/>
        <v>4252.2000000000007</v>
      </c>
      <c r="N122" s="176">
        <f t="shared" si="71"/>
        <v>0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5850</v>
      </c>
      <c r="D123" s="176">
        <f t="shared" si="72"/>
        <v>546.25</v>
      </c>
      <c r="E123" s="176">
        <f t="shared" si="72"/>
        <v>5023.28</v>
      </c>
      <c r="F123" s="176">
        <f t="shared" si="72"/>
        <v>0</v>
      </c>
      <c r="G123" s="176">
        <f t="shared" si="72"/>
        <v>139.45999999999998</v>
      </c>
      <c r="H123" s="176">
        <f t="shared" si="72"/>
        <v>689.45</v>
      </c>
      <c r="I123" s="176">
        <f t="shared" si="72"/>
        <v>196</v>
      </c>
      <c r="J123" s="176">
        <f t="shared" si="72"/>
        <v>815.67</v>
      </c>
      <c r="K123" s="176">
        <f t="shared" si="72"/>
        <v>0</v>
      </c>
      <c r="L123" s="176">
        <f t="shared" si="72"/>
        <v>1597.0600000000002</v>
      </c>
      <c r="M123" s="176">
        <f t="shared" si="72"/>
        <v>0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1310.22</v>
      </c>
      <c r="D124" s="176">
        <f t="shared" si="73"/>
        <v>0</v>
      </c>
      <c r="E124" s="176">
        <f t="shared" si="73"/>
        <v>0</v>
      </c>
      <c r="F124" s="176">
        <f t="shared" si="73"/>
        <v>114.42999999999999</v>
      </c>
      <c r="G124" s="176">
        <f t="shared" si="73"/>
        <v>0</v>
      </c>
      <c r="H124" s="176">
        <f t="shared" si="73"/>
        <v>707.94</v>
      </c>
      <c r="I124" s="176">
        <f t="shared" si="73"/>
        <v>0</v>
      </c>
      <c r="J124" s="176">
        <f t="shared" si="73"/>
        <v>-2174.36</v>
      </c>
      <c r="K124" s="176">
        <f t="shared" si="73"/>
        <v>875.08</v>
      </c>
      <c r="L124" s="176">
        <f t="shared" si="73"/>
        <v>639.67999999999995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243.19</v>
      </c>
      <c r="D125" s="176">
        <f t="shared" si="74"/>
        <v>0</v>
      </c>
      <c r="E125" s="176">
        <f t="shared" si="74"/>
        <v>44.699999999999996</v>
      </c>
      <c r="F125" s="176">
        <f t="shared" si="74"/>
        <v>0</v>
      </c>
      <c r="G125" s="176">
        <f t="shared" si="74"/>
        <v>603.68000000000006</v>
      </c>
      <c r="H125" s="176">
        <f t="shared" si="74"/>
        <v>0</v>
      </c>
      <c r="I125" s="176">
        <f t="shared" si="74"/>
        <v>-7646.77</v>
      </c>
      <c r="J125" s="176">
        <f t="shared" si="74"/>
        <v>1280.75</v>
      </c>
      <c r="K125" s="176">
        <f t="shared" si="74"/>
        <v>0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0</v>
      </c>
      <c r="D126" s="176">
        <f t="shared" si="75"/>
        <v>44.7</v>
      </c>
      <c r="E126" s="176">
        <f t="shared" si="75"/>
        <v>149.46</v>
      </c>
      <c r="F126" s="176">
        <f t="shared" si="75"/>
        <v>813.51</v>
      </c>
      <c r="G126" s="176">
        <f t="shared" si="75"/>
        <v>4052.45</v>
      </c>
      <c r="H126" s="176">
        <f t="shared" si="75"/>
        <v>0</v>
      </c>
      <c r="I126" s="176">
        <f t="shared" si="75"/>
        <v>2029.1100000000001</v>
      </c>
      <c r="J126" s="176">
        <f t="shared" si="75"/>
        <v>0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173.78</v>
      </c>
      <c r="D127" s="176">
        <f t="shared" si="76"/>
        <v>0</v>
      </c>
      <c r="E127" s="176">
        <f t="shared" si="76"/>
        <v>3728</v>
      </c>
      <c r="F127" s="176">
        <f t="shared" si="76"/>
        <v>0</v>
      </c>
      <c r="G127" s="176">
        <f t="shared" si="76"/>
        <v>-139</v>
      </c>
      <c r="H127" s="176">
        <f t="shared" si="76"/>
        <v>3734.82</v>
      </c>
      <c r="I127" s="176">
        <f t="shared" si="76"/>
        <v>465.76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0</v>
      </c>
      <c r="D128" s="176">
        <f t="shared" si="77"/>
        <v>2527.0899999999997</v>
      </c>
      <c r="E128" s="176">
        <f t="shared" si="77"/>
        <v>0</v>
      </c>
      <c r="F128" s="176">
        <f t="shared" si="77"/>
        <v>438.13000000000005</v>
      </c>
      <c r="G128" s="176">
        <f t="shared" si="77"/>
        <v>2614.6399999999994</v>
      </c>
      <c r="H128" s="176">
        <f t="shared" si="77"/>
        <v>0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0</v>
      </c>
      <c r="D129" s="176">
        <f t="shared" si="78"/>
        <v>0</v>
      </c>
      <c r="E129" s="176">
        <f t="shared" si="78"/>
        <v>111.84</v>
      </c>
      <c r="F129" s="176">
        <f t="shared" si="78"/>
        <v>4690.47</v>
      </c>
      <c r="G129" s="176">
        <f t="shared" si="78"/>
        <v>0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0</v>
      </c>
      <c r="D130" s="176">
        <f t="shared" si="79"/>
        <v>153.35000000000002</v>
      </c>
      <c r="E130" s="176">
        <f t="shared" si="79"/>
        <v>5948</v>
      </c>
      <c r="F130" s="176">
        <f t="shared" si="79"/>
        <v>50.5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0</v>
      </c>
      <c r="D131" s="176">
        <f t="shared" si="80"/>
        <v>631.22</v>
      </c>
      <c r="E131" s="176">
        <f t="shared" si="80"/>
        <v>0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101</v>
      </c>
      <c r="D132" s="176">
        <f t="shared" si="81"/>
        <v>0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0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3380977.610000005</v>
      </c>
      <c r="D135" s="41">
        <f t="shared" si="83"/>
        <v>3351579.1400000011</v>
      </c>
      <c r="E135" s="41">
        <f t="shared" si="83"/>
        <v>3638130.6099999989</v>
      </c>
      <c r="F135" s="41">
        <f t="shared" si="83"/>
        <v>3673464.629999999</v>
      </c>
      <c r="G135" s="41">
        <f t="shared" si="83"/>
        <v>3900551.2699999944</v>
      </c>
      <c r="H135" s="41">
        <f t="shared" si="83"/>
        <v>4014606.4399999976</v>
      </c>
      <c r="I135" s="41">
        <f t="shared" si="83"/>
        <v>4139368.6699999976</v>
      </c>
      <c r="J135" s="41">
        <f t="shared" si="83"/>
        <v>3960536.4299999978</v>
      </c>
      <c r="K135" s="41">
        <f t="shared" si="83"/>
        <v>3885665.2800000012</v>
      </c>
      <c r="L135" s="41">
        <f t="shared" si="83"/>
        <v>3574534.7200000044</v>
      </c>
      <c r="M135" s="41">
        <f t="shared" si="83"/>
        <v>3692141.0800000052</v>
      </c>
      <c r="N135" s="41">
        <f t="shared" si="83"/>
        <v>4328926.950000002</v>
      </c>
      <c r="O135" s="41">
        <f t="shared" si="83"/>
        <v>3950978.1900000079</v>
      </c>
      <c r="P135" s="41">
        <f t="shared" si="83"/>
        <v>4033103.6400000071</v>
      </c>
      <c r="Q135" s="41">
        <f t="shared" si="83"/>
        <v>4145111.1000000094</v>
      </c>
      <c r="R135" s="41">
        <f t="shared" si="83"/>
        <v>4023769.4900000077</v>
      </c>
      <c r="S135" s="41">
        <f t="shared" si="83"/>
        <v>4576387.1400000164</v>
      </c>
      <c r="T135" s="41">
        <f t="shared" si="83"/>
        <v>4471030.9000000125</v>
      </c>
      <c r="U135" s="41">
        <f t="shared" si="83"/>
        <v>4654030.8600000069</v>
      </c>
      <c r="V135" s="41">
        <f t="shared" si="83"/>
        <v>4375399.0900000129</v>
      </c>
      <c r="W135" s="41">
        <f t="shared" si="83"/>
        <v>4392206.6300000092</v>
      </c>
      <c r="X135" s="41">
        <f t="shared" si="83"/>
        <v>4311182.3399999924</v>
      </c>
      <c r="Y135" s="41">
        <f t="shared" si="83"/>
        <v>4362488.2299999902</v>
      </c>
      <c r="Z135" s="41">
        <f t="shared" si="83"/>
        <v>4984576.0699999863</v>
      </c>
      <c r="AA135" s="41">
        <f t="shared" si="83"/>
        <v>4461740.7500000009</v>
      </c>
      <c r="AB135" s="41">
        <f t="shared" si="83"/>
        <v>4709219.6099999994</v>
      </c>
      <c r="AC135" s="41">
        <f t="shared" si="83"/>
        <v>4804281.4399999911</v>
      </c>
      <c r="AD135" s="41">
        <f t="shared" si="83"/>
        <v>4661068.5199999847</v>
      </c>
      <c r="AE135" s="41">
        <f t="shared" si="83"/>
        <v>5070741.000000014</v>
      </c>
      <c r="AF135" s="41">
        <f t="shared" si="83"/>
        <v>4885085.5199999968</v>
      </c>
      <c r="AG135" s="41">
        <f t="shared" si="83"/>
        <v>5628476.9799999958</v>
      </c>
      <c r="AH135" s="41">
        <f t="shared" si="83"/>
        <v>5132941.4099999983</v>
      </c>
      <c r="AI135" s="41">
        <f t="shared" si="83"/>
        <v>4612761.2399999928</v>
      </c>
      <c r="AJ135" s="41">
        <f t="shared" si="83"/>
        <v>3478675.1399999922</v>
      </c>
      <c r="AK135" s="41">
        <f t="shared" si="83"/>
        <v>1819598.1699999985</v>
      </c>
      <c r="AL135" s="41">
        <f>SUM(AL98:AL133)</f>
        <v>571271.51999999979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4739066.0100000035</v>
      </c>
      <c r="N142" s="51">
        <f>N98+M99+L100+K101+J102+I103+H104+G105+F106+E107+D108+C109</f>
        <v>3290492.010000004</v>
      </c>
      <c r="O142" s="51">
        <f>O98+N99+M100+L101+K102+J103+I104+H105+G106+F107+E108+D109+C110</f>
        <v>3844463.340000004</v>
      </c>
      <c r="P142" s="51">
        <f>P98+O99+N100+M101+L102+K103+J104+I105+H106+G107+F108+E109+D110+C111</f>
        <v>4190787.0600000084</v>
      </c>
      <c r="Q142" s="51">
        <f>Q98+P99+O100+N101+M102+L103+K104+J105+I106+H107+G108+F109+E110+D111+C112</f>
        <v>4422948.7600000063</v>
      </c>
      <c r="R142" s="51">
        <f>R98+Q99+P100+O101+N102+M103+L104+K105+J106+I107+H108+G109+F110+E111+D112+C113</f>
        <v>4477270.8400000064</v>
      </c>
      <c r="S142" s="51">
        <f>S98+R99+Q100+P101+O102+N103+M104+L105+K106+J107+I108+H109+G110+F111+E112+D113+C114</f>
        <v>5636125.6800000165</v>
      </c>
      <c r="T142" s="51">
        <f>T98+S99+R100+Q101+P102+O103+N104+M105+L106+K107+J108+I109+H110+G111+F112+E113+D114+C115</f>
        <v>4331282.8800000083</v>
      </c>
      <c r="U142" s="51">
        <f>U98+T99+S100+R101+Q102+P103+O104+N105+M106+L107+K108+J109+I110+H111+G112+F113+E114+D115+C116</f>
        <v>4422726.4100000095</v>
      </c>
      <c r="V142" s="51">
        <f>V98+U99+T100+S101+R102+Q103+P104+O105+N106+M107+L108+K109+J110+I111+H112+G113+F114+E115+D116+C117</f>
        <v>4477110.5900000036</v>
      </c>
      <c r="W142" s="51">
        <f>W98+V99+U100+T101+S102+R103+Q104+P105+O106+N107+M108+L109+K110+J111+I112+H113+G114+F115+E116+D117+C118</f>
        <v>4397652.3700000178</v>
      </c>
      <c r="X142" s="51">
        <f>X98+W99+V100+U101+T102+S103+R104+Q105+P106+O107+N108+M109+L110+K111+J112+I113+H114+G115+F116+E117+D118+C119</f>
        <v>4466615.6500000032</v>
      </c>
      <c r="Y142" s="51">
        <f>Y98+X99+W100+V101+U102+T103+S104+R105+Q106+P107+O108+N109+M110+L111+K112+J113+I114+H115+G116+F117+E118+D119+C120</f>
        <v>4009339.3599999989</v>
      </c>
      <c r="Z142" s="51">
        <f>Z98+Y99+X100+W101+V102+U103+T104+S105+R106+Q107+P108+O109+N110+M111+L112+K113+J114+I115+H116+G117+F118+E119+D120+C121</f>
        <v>5077483.7799999835</v>
      </c>
      <c r="AA142" s="51">
        <f>AA98+Z99+Y100+X101+W102+V103+U104+T105+S106+R107+Q108+P109+O110+N111+M112+L113+K114+J115+I116+H117+G118+F119+E120+D121+C122</f>
        <v>4154075.8699999978</v>
      </c>
      <c r="AB142" s="51">
        <f>AB98+AA99+Z100+Y101+X102+W103+V104+U105+T106+S107+R108+Q109+P110+O111+N112+M113+L114+K115+J116+I117+H118+G119+F120+E121+D122+C123</f>
        <v>4653392.6099999966</v>
      </c>
      <c r="AC142" s="51">
        <f>AC98+AB99+AA100+Z101+Y102+X103+W104+V105+U106+T107+S108+R109+Q110+P111+O112+N113+M114+L115+K116+J117+I118+H119+G120+F121+E122+D123+C124</f>
        <v>4803201.339999998</v>
      </c>
      <c r="AD142" s="51">
        <f>AD98+AC99+AB100+AA101+Z102+Y103+X104+W105+V106+U107+T108+S109+R110+Q111+P112+O113+N114+M115+L116+K117+J118+I119+H120+G121+F122+E123+D124+C125</f>
        <v>4525300.0899999943</v>
      </c>
      <c r="AE142" s="51">
        <f>AE98+AD99+AC100+AB101+AA102+Z103+Y104+X105+W106+V107+U108+T109+S110+R111+Q112+P113+O114+N115+M116+L117+K118+J119+I120+H121+G122+F123+E124+D125+C126</f>
        <v>4711315.7599999821</v>
      </c>
      <c r="AF142" s="51">
        <f>AF98+AE99+AD100+AC101+AB102+AA103+Z104+Y105+X106+W107+V108+U109+T110+S111+R112+Q113+P114+O115+N116+M117+L118+K119+J120+I121+H122+G123+F124+E125+D126+C127</f>
        <v>5026007.420000013</v>
      </c>
      <c r="AG142" s="51">
        <f>AG98+AF99+AE100+AD101+AC102+AB103+AA104+Z105+Y106+X107+W108+V109+U110+T111+S112+R113+Q114+P115+O116+N117+M118+L119+K120+J121+I122+H123+G124+F125+E126+D127+C128</f>
        <v>5645364.459999986</v>
      </c>
      <c r="AH142" s="51">
        <f>AH98+AG99+AF100+AE101+AD102+AC103+AB104+AA105+Z106+Y107+X108+W109+V110+U111+T112+S113+R114+Q115+P116+O117+N118+M119+L120+K121+J122+I123+H124+G125+F126+E127+D128+C129</f>
        <v>5226868.5000000019</v>
      </c>
      <c r="AI142" s="51">
        <f>AI98+AH99+AG100+AF101+AE102+AD103+AC104+AB105+AA106+Z107+Y108+X109+W110+V111+U112+T113+S114+R115+Q116+P117+O118+N119+M120+L121+K122+J123+I124+H125+G126+F127+E128+D129+C130</f>
        <v>5333947.7200000016</v>
      </c>
      <c r="AJ142" s="51">
        <f>AJ98+AI99+AH100+AG101+AF102+AE103+AD104+AC105+AB106+AA107+Z108+Y109+X110+W111+V112+U113+T114+S115+R116+Q117+P118+O119+N120+M121+L122+K123+J124+I125+H126+G127+F128+E129+D130+C131</f>
        <v>5395969.1799999913</v>
      </c>
      <c r="AK142" s="51">
        <f>AK98+AJ99+AI100+AH101+AG102+AF103+AE104+AD105+AC106+AB107+AA108+Z109+Y110+X111+W112+V113+U114+T115+S116+R117+Q118+P119+O120+N121+M122+L123+K124+J125+I126+H127+G128+F129+E130+D131+C132</f>
        <v>3323663.6499999929</v>
      </c>
      <c r="AL142" s="51">
        <f>AL98+AK99+AJ100+AI101+AH102+AG103+AF104+AE105+AD106+AC107+AB108+AA109+Z110+Y111+X112+W113+V114+U115+T116+S117+R118+Q119+P120+O121+N122+M123+L124+K125+J126+I127+H128+G129+F130+E131+D132+C133</f>
        <v>3877540.2099999972</v>
      </c>
    </row>
    <row r="143" spans="1:46" x14ac:dyDescent="0.2">
      <c r="M143" s="32">
        <f>(L99*1+K100*2+J101*3+I102*4+H103*5+G104*6+F105*7+E106*8+D107*9+C108*10)/M142</f>
        <v>1.6949260261517214</v>
      </c>
      <c r="N143" s="32">
        <f>(M99*1+L100*2+K101*3+J102*4+I103*5+H104*6+G105*7+F106*8+E107*9+D108*10+C109*11)/N142</f>
        <v>1.7139536770976691</v>
      </c>
      <c r="O143" s="32">
        <f>(N99*1+M100*2+L101*3+K102*4+J103*5+I104*6+H105*7+G106*8+F107*9+E108*10+D109*11+C110*12)/O142</f>
        <v>1.5154673499890878</v>
      </c>
      <c r="P143" s="32">
        <f>(O99*1+N100*2+M101*3+L102*4+K103*5+J104*6+I105*7+H106*8+G107*9+F108*10+E109*11+D110*12+C111*13)/P142</f>
        <v>1.5401912833051443</v>
      </c>
      <c r="Q143" s="32">
        <f>(P99*1+O100*2+N101*3+M102*4+L103*5+K104*6+J105*7+I106*8+H107*9+G108*10+F109*11+E110*12+D111*13+C112*14)/Q142</f>
        <v>1.7245657849312268</v>
      </c>
      <c r="R143" s="32">
        <f>(Q99*1+P100*2+O101*3+N102*4+M103*5+L104*6+K105*7+J106*8+I107*9+H108*10+G109*11+F110*12+E111*13+D112*14+C113*15)/R142</f>
        <v>2.3106310249482229</v>
      </c>
      <c r="S143" s="32">
        <f>(R99*1+Q100*2+P101*3+O102*4+N103*5+M104*6+L105*7+K106*8+J107*9+I108*10+H109*11+G110*12+F111*13+E112*14+D113*15+C114*16)/S142</f>
        <v>1.4193252039049604</v>
      </c>
      <c r="T143" s="32">
        <f>(S99*1+R100*2+Q101*3+P102*4+O103*5+N104*6+M105*7+L106*8+K107*9+J108*10+I109*11+H110*12+G111*13+F112*14+E113*15+D114*16+C115*17)/T142</f>
        <v>1.8919437951833771</v>
      </c>
      <c r="U143" s="32">
        <f>(T99*1+S100*2+R101*3+Q102*4+P103*5+O104*6+N105*7+M106*8+L107*9+K108*10+J109*11+I110*12+H111*13+G112*14+F113*15+E114*16+D115*17+C116*18)/U142</f>
        <v>1.9703032546388026</v>
      </c>
      <c r="V143" s="32">
        <f>(U99*1+T100*2+S101*3+R102*4+Q103*5+P104*6+O105*7+N106*8+M107*9+L108*10+K109*11+J110*12+I111*13+H112*14+G113*15+F114*16+E115*17+D116*18+C117*19)/V142</f>
        <v>1.3541882868700801</v>
      </c>
      <c r="W143" s="32">
        <f>(V99*1+U100*2+T101*3+S102*4+R103*5+Q104*6+P105*7+O106*8+N107*9+M108*10+L109*11+K110*12+J111*13+I112*14+H113*15+G114*16+F115*17+E116*18+D117*19+C118*20)/W142</f>
        <v>1.3091605828770831</v>
      </c>
      <c r="X143" s="32">
        <f>(W99*1+V100*2+U101*3+T102*4+S103*5+R104*6+Q105*7+P106*8+O107*9+N108*10+M109*11+L110*12+K111*13+J112*14+I113*15+H114*16+G115*17+F116*18+E117*19+D118*20+C119*21)/X142</f>
        <v>1.6158398339019835</v>
      </c>
      <c r="Y143" s="32">
        <f>(X99*1+W100*2+V101*3+U102*4+T103*5+S104*6+R105*7+Q106*8+P107*9+O108*10+N109*11+M110*12+L111*13+K112*14+J113*15+I114*16+H115*17+G116*18+F117*19+E118*20+D119*21+C120*22)/Y142</f>
        <v>2.0576352708641736</v>
      </c>
      <c r="Z143" s="32">
        <f>(Y99*1+X100*2+W101*3+V102*4+U103*5+T104*6+S105*7+R106*8+Q107*9+P108*10+O109*11+N110*12+M111*13+L112*14+K113*15+J114*16+I115*17+H116*18+G117*19+F118*20+E119*21+D120*22+C121*23)/Z142</f>
        <v>1.4387885331659314</v>
      </c>
      <c r="AA143" s="32">
        <f>(Z99*1+Y100*2+X101*3+W102*4+V103*5+U104*6+T105*7+S106*8+R107*9+Q108*10+P109*11+O110*12+N111*13+M112*14+L113*15+K114*16+J115*17+I116*18+H117*19+G118*20+F119*21+E120*22+D121*23+C122*24)/AA142</f>
        <v>1.7952011743107614</v>
      </c>
      <c r="AB143" s="32">
        <f>(AA99*1+Z100*2+Y101*3+X102*4+W103*5+V104*6+U105*7+T106*8+S107*9+R108*10+Q109*11+P110*12+O111*13+N112*14+M113*15+L114*16+K115*17+J116*18+I117*19+H118*20+G119*21+F120*22+E121*23+D122*24+C123*25)/AB142</f>
        <v>1.5149523779382967</v>
      </c>
      <c r="AC143" s="32">
        <f>(AB99*1+AA100*2+Z101*3+Y102*4+X103*5+W104*6+V105*7+U106*8+T107*9+S108*10+R109*11+Q110*12+P111*13+O112*14+N113*15+M114*16+L115*17+K116*18+J117*19+I118*20+H119*21+G120*22+F121*23+E122*24+D123*25+C124*26)/AC142</f>
        <v>1.3379411698781707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1.6165545564957222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1.6396761994997362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1.7104329921582144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1.3306447428196719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1.6605872177576302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1.7008069137955482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1.8393085614325182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2.0979528479062588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1.9243978929621472</v>
      </c>
    </row>
    <row r="144" spans="1:46" x14ac:dyDescent="0.2">
      <c r="C144" s="3" t="str">
        <f>+$C$1</f>
        <v>Allied Pacific (APC Medicare)</v>
      </c>
      <c r="M144" s="3" t="s">
        <v>468</v>
      </c>
      <c r="O144" s="3" t="str">
        <f>+$C$1</f>
        <v>Allied Pacific (APC Medicare)</v>
      </c>
      <c r="Y144" s="130" t="s">
        <v>469</v>
      </c>
      <c r="AA144" s="3" t="str">
        <f>+$C$1</f>
        <v>Allied Pacific (APC Medicare)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1004526.7600000019</v>
      </c>
      <c r="D149" s="176">
        <f>SUM(D98:D$98)</f>
        <v>482211.5600000007</v>
      </c>
      <c r="E149" s="176">
        <f>SUM(E98:E$98)</f>
        <v>241497.67</v>
      </c>
      <c r="F149" s="176">
        <f>SUM(F98:F$98)</f>
        <v>298703.77000000031</v>
      </c>
      <c r="G149" s="176">
        <f>SUM(G98:G$98)</f>
        <v>698076.46000000043</v>
      </c>
      <c r="H149" s="176">
        <f>SUM(H98:H$98)</f>
        <v>1026866.4800000011</v>
      </c>
      <c r="I149" s="176">
        <f>SUM(I98:I$98)</f>
        <v>761446.51000000152</v>
      </c>
      <c r="J149" s="176">
        <f>SUM(J98:J$98)</f>
        <v>633432.7000000017</v>
      </c>
      <c r="K149" s="176">
        <f>SUM(K98:K$98)</f>
        <v>584954.71000000113</v>
      </c>
      <c r="L149" s="176">
        <f>SUM(L98:L$98)</f>
        <v>158790.01000000007</v>
      </c>
      <c r="M149" s="176">
        <f>SUM(M98:M$98)</f>
        <v>659023.53000000049</v>
      </c>
      <c r="N149" s="176">
        <f>SUM(N98:N$98)</f>
        <v>531228.49999999884</v>
      </c>
      <c r="O149" s="176">
        <f>SUM(O98:O$98)</f>
        <v>626580.95000000135</v>
      </c>
      <c r="P149" s="176">
        <f>SUM(P98:P$98)</f>
        <v>798211.74000000185</v>
      </c>
      <c r="Q149" s="176">
        <f>SUM(Q98:Q$98)</f>
        <v>800445.93000000168</v>
      </c>
      <c r="R149" s="176">
        <f>SUM(R98:R$98)</f>
        <v>672374.03000000061</v>
      </c>
      <c r="S149" s="176">
        <f>SUM(S98:S$98)</f>
        <v>1373123.0700000084</v>
      </c>
      <c r="T149" s="176">
        <f>SUM(T98:T$98)</f>
        <v>1141760.6800000041</v>
      </c>
      <c r="U149" s="176">
        <f>SUM(U98:U$98)</f>
        <v>1219165.3500000034</v>
      </c>
      <c r="V149" s="176">
        <f>SUM(V98:V$98)</f>
        <v>1162636.3100000024</v>
      </c>
      <c r="W149" s="176">
        <f>SUM(W98:W$98)</f>
        <v>1142800.2500000079</v>
      </c>
      <c r="X149" s="176">
        <f>SUM(X98:X$98)</f>
        <v>997159.99999999884</v>
      </c>
      <c r="Y149" s="176">
        <f>SUM(Y98:Y$98)</f>
        <v>920338.80000000563</v>
      </c>
      <c r="Z149" s="176">
        <f>SUM(Z98:Z$98)</f>
        <v>1300877.1699999955</v>
      </c>
      <c r="AA149" s="176">
        <f>SUM(AA98:AA$98)</f>
        <v>644189.63000000187</v>
      </c>
      <c r="AB149" s="176">
        <f>SUM(AB98:AB$98)</f>
        <v>788344.64000000048</v>
      </c>
      <c r="AC149" s="176">
        <f>SUM(AC98:AC$98)</f>
        <v>975607.42000000051</v>
      </c>
      <c r="AD149" s="176">
        <f>SUM(AD98:AD$98)</f>
        <v>801693.41999999993</v>
      </c>
      <c r="AE149" s="176">
        <f>SUM(AE98:AE$98)</f>
        <v>854406.51000000024</v>
      </c>
      <c r="AF149" s="176">
        <f>SUM(AF98:AF$98)</f>
        <v>671365.21000000031</v>
      </c>
      <c r="AG149" s="176">
        <f>SUM(AG98:AG$98)</f>
        <v>1311137.7499999909</v>
      </c>
      <c r="AH149" s="176">
        <f>SUM(AH98:AH$98)</f>
        <v>915291.40999999852</v>
      </c>
      <c r="AI149" s="176">
        <f>SUM(AI98:AI$98)</f>
        <v>1015613.4899999979</v>
      </c>
      <c r="AJ149" s="176">
        <f>SUM(AJ98:AJ$98)</f>
        <v>885592.62000000034</v>
      </c>
      <c r="AK149" s="176">
        <f>SUM(AK98:AK$98)</f>
        <v>390415.41999999981</v>
      </c>
      <c r="AL149" s="176">
        <f>SUM(AL98:AL$98)</f>
        <v>571271.51999999979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2001520.1500000039</v>
      </c>
      <c r="D150" s="176">
        <f>SUM(D$98:D99)</f>
        <v>1581284.5300000017</v>
      </c>
      <c r="E150" s="176">
        <f>SUM(E$98:E99)</f>
        <v>2015079.7499999979</v>
      </c>
      <c r="F150" s="176">
        <f>SUM(F$98:F99)</f>
        <v>2147974.6599999983</v>
      </c>
      <c r="G150" s="176">
        <f>SUM(G$98:G99)</f>
        <v>2677885.7999999942</v>
      </c>
      <c r="H150" s="176">
        <f>SUM(H$98:H99)</f>
        <v>2486251.3999999976</v>
      </c>
      <c r="I150" s="176">
        <f>SUM(I$98:I99)</f>
        <v>2499647.6399999987</v>
      </c>
      <c r="J150" s="176">
        <f>SUM(J$98:J99)</f>
        <v>2416867.3299999973</v>
      </c>
      <c r="K150" s="176">
        <f>SUM(K$98:K99)</f>
        <v>1750610.7300000021</v>
      </c>
      <c r="L150" s="176">
        <f>SUM(L$98:L99)</f>
        <v>2088228.8200000038</v>
      </c>
      <c r="M150" s="176">
        <f>SUM(M$98:M99)</f>
        <v>2084415.3000000054</v>
      </c>
      <c r="N150" s="176">
        <f>SUM(N$98:N99)</f>
        <v>2436113.8000000017</v>
      </c>
      <c r="O150" s="176">
        <f>SUM(O$98:O99)</f>
        <v>2400300.9700000072</v>
      </c>
      <c r="P150" s="176">
        <f>SUM(P$98:P99)</f>
        <v>2614379.8700000076</v>
      </c>
      <c r="Q150" s="176">
        <f>SUM(Q$98:Q99)</f>
        <v>2604857.1200000076</v>
      </c>
      <c r="R150" s="176">
        <f>SUM(R$98:R99)</f>
        <v>3079349.2900000075</v>
      </c>
      <c r="S150" s="176">
        <f>SUM(S$98:S99)</f>
        <v>3410672.1400000136</v>
      </c>
      <c r="T150" s="176">
        <f>SUM(T$98:T99)</f>
        <v>3096145.7500000112</v>
      </c>
      <c r="U150" s="176">
        <f>SUM(U$98:U99)</f>
        <v>3219226.0900000054</v>
      </c>
      <c r="V150" s="176">
        <f>SUM(V$98:V99)</f>
        <v>3153014.5800000122</v>
      </c>
      <c r="W150" s="176">
        <f>SUM(W$98:W99)</f>
        <v>3326589.5600000112</v>
      </c>
      <c r="X150" s="176">
        <f>SUM(X$98:X99)</f>
        <v>2853539.4999999916</v>
      </c>
      <c r="Y150" s="176">
        <f>SUM(Y$98:Y99)</f>
        <v>3246768.899999992</v>
      </c>
      <c r="Z150" s="176">
        <f>SUM(Z$98:Z99)</f>
        <v>3499255.3099999912</v>
      </c>
      <c r="AA150" s="176">
        <f>SUM(AA$98:AA99)</f>
        <v>3080145.620000001</v>
      </c>
      <c r="AB150" s="176">
        <f>SUM(AB$98:AB99)</f>
        <v>3267432.7799999993</v>
      </c>
      <c r="AC150" s="176">
        <f>SUM(AC$98:AC99)</f>
        <v>3283104.6199999927</v>
      </c>
      <c r="AD150" s="176">
        <f>SUM(AD$98:AD99)</f>
        <v>3117275.1799999853</v>
      </c>
      <c r="AE150" s="176">
        <f>SUM(AE$98:AE99)</f>
        <v>3562743.8200000138</v>
      </c>
      <c r="AF150" s="176">
        <f>SUM(AF$98:AF99)</f>
        <v>3386912.8999999962</v>
      </c>
      <c r="AG150" s="176">
        <f>SUM(AG$98:AG99)</f>
        <v>3964700.3699999955</v>
      </c>
      <c r="AH150" s="176">
        <f>SUM(AH$98:AH99)</f>
        <v>3443310.95</v>
      </c>
      <c r="AI150" s="176">
        <f>SUM(AI$98:AI99)</f>
        <v>3375382.2599999928</v>
      </c>
      <c r="AJ150" s="176">
        <f>SUM(AJ$98:AJ99)</f>
        <v>2281796.1499999943</v>
      </c>
      <c r="AK150" s="176">
        <f>SUM(AK$98:AK99)</f>
        <v>1819598.1699999985</v>
      </c>
      <c r="AL150" s="176">
        <f>SUM(AL$98:AL99)</f>
        <v>571271.51999999979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2383249.0800000043</v>
      </c>
      <c r="D151" s="176">
        <f>SUM(D$98:D100)</f>
        <v>2333414.3800000018</v>
      </c>
      <c r="E151" s="176">
        <f>SUM(E$98:E100)</f>
        <v>2523413.549999998</v>
      </c>
      <c r="F151" s="176">
        <f>SUM(F$98:F100)</f>
        <v>2989728.1999999983</v>
      </c>
      <c r="G151" s="176">
        <f>SUM(G$98:G100)</f>
        <v>3040103.1799999946</v>
      </c>
      <c r="H151" s="176">
        <f>SUM(H$98:H100)</f>
        <v>3119144.9499999969</v>
      </c>
      <c r="I151" s="176">
        <f>SUM(I$98:I100)</f>
        <v>3230672.9099999974</v>
      </c>
      <c r="J151" s="176">
        <f>SUM(J$98:J100)</f>
        <v>3006086.569999998</v>
      </c>
      <c r="K151" s="176">
        <f>SUM(K$98:K100)</f>
        <v>2986557.1300000008</v>
      </c>
      <c r="L151" s="176">
        <f>SUM(L$98:L100)</f>
        <v>2689268.3000000045</v>
      </c>
      <c r="M151" s="176">
        <f>SUM(M$98:M100)</f>
        <v>2725975.9500000058</v>
      </c>
      <c r="N151" s="176">
        <f>SUM(N$98:N100)</f>
        <v>3391294.9200000023</v>
      </c>
      <c r="O151" s="176">
        <f>SUM(O$98:O100)</f>
        <v>3236069.8600000083</v>
      </c>
      <c r="P151" s="176">
        <f>SUM(P$98:P100)</f>
        <v>3501951.4600000079</v>
      </c>
      <c r="Q151" s="176">
        <f>SUM(Q$98:Q100)</f>
        <v>3808507.3100000089</v>
      </c>
      <c r="R151" s="176">
        <f>SUM(R$98:R100)</f>
        <v>3604189.8700000066</v>
      </c>
      <c r="S151" s="176">
        <f>SUM(S$98:S100)</f>
        <v>4069670.3900000136</v>
      </c>
      <c r="T151" s="176">
        <f>SUM(T$98:T100)</f>
        <v>3972930.840000011</v>
      </c>
      <c r="U151" s="176">
        <f>SUM(U$98:U100)</f>
        <v>4064511.8400000054</v>
      </c>
      <c r="V151" s="176">
        <f>SUM(V$98:V100)</f>
        <v>3874856.6600000123</v>
      </c>
      <c r="W151" s="176">
        <f>SUM(W$98:W100)</f>
        <v>3864543.4500000109</v>
      </c>
      <c r="X151" s="176">
        <f>SUM(X$98:X100)</f>
        <v>3688060.5399999917</v>
      </c>
      <c r="Y151" s="176">
        <f>SUM(Y$98:Y100)</f>
        <v>3931569.2499999916</v>
      </c>
      <c r="Z151" s="176">
        <f>SUM(Z$98:Z100)</f>
        <v>4454067.4899999881</v>
      </c>
      <c r="AA151" s="176">
        <f>SUM(AA$98:AA100)</f>
        <v>3970909.7999999993</v>
      </c>
      <c r="AB151" s="176">
        <f>SUM(AB$98:AB100)</f>
        <v>4145243.5499999989</v>
      </c>
      <c r="AC151" s="176">
        <f>SUM(AC$98:AC100)</f>
        <v>4234106.8299999898</v>
      </c>
      <c r="AD151" s="176">
        <f>SUM(AD$98:AD100)</f>
        <v>4104193.2399999839</v>
      </c>
      <c r="AE151" s="176">
        <f>SUM(AE$98:AE100)</f>
        <v>4566111.0500000138</v>
      </c>
      <c r="AF151" s="176">
        <f>SUM(AF$98:AF100)</f>
        <v>4352002.3599999966</v>
      </c>
      <c r="AG151" s="176">
        <f>SUM(AG$98:AG100)</f>
        <v>5050542.6499999957</v>
      </c>
      <c r="AH151" s="176">
        <f>SUM(AH$98:AH100)</f>
        <v>4721329.0199999977</v>
      </c>
      <c r="AI151" s="176">
        <f>SUM(AI$98:AI100)</f>
        <v>4305763.1199999927</v>
      </c>
      <c r="AJ151" s="176">
        <f>SUM(AJ$98:AJ100)</f>
        <v>3478675.1399999922</v>
      </c>
      <c r="AK151" s="176">
        <f>SUM(AK$98:AK100)</f>
        <v>1819598.1699999985</v>
      </c>
      <c r="AL151" s="176">
        <f>SUM(AL$98:AL100)</f>
        <v>571271.51999999979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2718031.8900000043</v>
      </c>
      <c r="D152" s="176">
        <f>SUM(D$98:D101)</f>
        <v>2631486.7500000014</v>
      </c>
      <c r="E152" s="176">
        <f>SUM(E$98:E101)</f>
        <v>3058507.4799999977</v>
      </c>
      <c r="F152" s="176">
        <f>SUM(F$98:F101)</f>
        <v>3129999.5199999982</v>
      </c>
      <c r="G152" s="176">
        <f>SUM(G$98:G101)</f>
        <v>3331542.2499999949</v>
      </c>
      <c r="H152" s="176">
        <f>SUM(H$98:H101)</f>
        <v>3421097.0599999973</v>
      </c>
      <c r="I152" s="176">
        <f>SUM(I$98:I101)</f>
        <v>3680615.9999999977</v>
      </c>
      <c r="J152" s="176">
        <f>SUM(J$98:J101)</f>
        <v>3552370.5299999975</v>
      </c>
      <c r="K152" s="176">
        <f>SUM(K$98:K101)</f>
        <v>3383336.6600000011</v>
      </c>
      <c r="L152" s="176">
        <f>SUM(L$98:L101)</f>
        <v>3031749.6200000043</v>
      </c>
      <c r="M152" s="176">
        <f>SUM(M$98:M101)</f>
        <v>3096682.4400000055</v>
      </c>
      <c r="N152" s="176">
        <f>SUM(N$98:N101)</f>
        <v>3912106.2100000018</v>
      </c>
      <c r="O152" s="176">
        <f>SUM(O$98:O101)</f>
        <v>3657025.7000000076</v>
      </c>
      <c r="P152" s="176">
        <f>SUM(P$98:P101)</f>
        <v>3836541.5900000073</v>
      </c>
      <c r="Q152" s="176">
        <f>SUM(Q$98:Q101)</f>
        <v>3945605.0600000089</v>
      </c>
      <c r="R152" s="176">
        <f>SUM(R$98:R101)</f>
        <v>3767653.000000007</v>
      </c>
      <c r="S152" s="176">
        <f>SUM(S$98:S101)</f>
        <v>4270988.2000000132</v>
      </c>
      <c r="T152" s="176">
        <f>SUM(T$98:T101)</f>
        <v>4198327.4100000113</v>
      </c>
      <c r="U152" s="176">
        <f>SUM(U$98:U101)</f>
        <v>4331199.980000006</v>
      </c>
      <c r="V152" s="176">
        <f>SUM(V$98:V101)</f>
        <v>4075542.6600000123</v>
      </c>
      <c r="W152" s="176">
        <f>SUM(W$98:W101)</f>
        <v>4135011.1100000106</v>
      </c>
      <c r="X152" s="176">
        <f>SUM(X$98:X101)</f>
        <v>3975820.7899999917</v>
      </c>
      <c r="Y152" s="176">
        <f>SUM(Y$98:Y101)</f>
        <v>4144045.2499999916</v>
      </c>
      <c r="Z152" s="176">
        <f>SUM(Z$98:Z101)</f>
        <v>4717349.1799999885</v>
      </c>
      <c r="AA152" s="176">
        <f>SUM(AA$98:AA101)</f>
        <v>4206376.9899999993</v>
      </c>
      <c r="AB152" s="176">
        <f>SUM(AB$98:AB101)</f>
        <v>4410608.2199999988</v>
      </c>
      <c r="AC152" s="176">
        <f>SUM(AC$98:AC101)</f>
        <v>4522089.4999999898</v>
      </c>
      <c r="AD152" s="176">
        <f>SUM(AD$98:AD101)</f>
        <v>4438968.4699999839</v>
      </c>
      <c r="AE152" s="176">
        <f>SUM(AE$98:AE101)</f>
        <v>4886870.2400000142</v>
      </c>
      <c r="AF152" s="176">
        <f>SUM(AF$98:AF101)</f>
        <v>4708483.8299999973</v>
      </c>
      <c r="AG152" s="176">
        <f>SUM(AG$98:AG101)</f>
        <v>5469933.3299999954</v>
      </c>
      <c r="AH152" s="176">
        <f>SUM(AH$98:AH101)</f>
        <v>4995994.9299999978</v>
      </c>
      <c r="AI152" s="176">
        <f>SUM(AI$98:AI101)</f>
        <v>4612761.2399999928</v>
      </c>
      <c r="AJ152" s="176">
        <f>SUM(AJ$98:AJ101)</f>
        <v>3478675.1399999922</v>
      </c>
      <c r="AK152" s="176">
        <f>SUM(AK$98:AK101)</f>
        <v>1819598.1699999985</v>
      </c>
      <c r="AL152" s="176">
        <f>SUM(AL$98:AL101)</f>
        <v>571271.51999999979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2851562.4600000042</v>
      </c>
      <c r="D153" s="176">
        <f>SUM(D$98:D102)</f>
        <v>2952782.9700000011</v>
      </c>
      <c r="E153" s="176">
        <f>SUM(E$98:E102)</f>
        <v>3114209.5199999977</v>
      </c>
      <c r="F153" s="176">
        <f>SUM(F$98:F102)</f>
        <v>3322049.9599999986</v>
      </c>
      <c r="G153" s="176">
        <f>SUM(G$98:G102)</f>
        <v>3494639.9399999948</v>
      </c>
      <c r="H153" s="176">
        <f>SUM(H$98:H102)</f>
        <v>3693547.6299999971</v>
      </c>
      <c r="I153" s="176">
        <f>SUM(I$98:I102)</f>
        <v>3856008.4999999977</v>
      </c>
      <c r="J153" s="176">
        <f>SUM(J$98:J102)</f>
        <v>3716597.7399999974</v>
      </c>
      <c r="K153" s="176">
        <f>SUM(K$98:K102)</f>
        <v>3582110.9600000009</v>
      </c>
      <c r="L153" s="176">
        <f>SUM(L$98:L102)</f>
        <v>3174602.6900000041</v>
      </c>
      <c r="M153" s="176">
        <f>SUM(M$98:M102)</f>
        <v>3307038.3000000054</v>
      </c>
      <c r="N153" s="176">
        <f>SUM(N$98:N102)</f>
        <v>4095865.2500000019</v>
      </c>
      <c r="O153" s="176">
        <f>SUM(O$98:O102)</f>
        <v>3762336.5700000077</v>
      </c>
      <c r="P153" s="176">
        <f>SUM(P$98:P102)</f>
        <v>3865812.5900000073</v>
      </c>
      <c r="Q153" s="176">
        <f>SUM(Q$98:Q102)</f>
        <v>3973819.7800000091</v>
      </c>
      <c r="R153" s="176">
        <f>SUM(R$98:R102)</f>
        <v>3844518.1700000069</v>
      </c>
      <c r="S153" s="176">
        <f>SUM(S$98:S102)</f>
        <v>4351550.0800000131</v>
      </c>
      <c r="T153" s="176">
        <f>SUM(T$98:T102)</f>
        <v>4266319.5400000112</v>
      </c>
      <c r="U153" s="176">
        <f>SUM(U$98:U102)</f>
        <v>4421658.0900000064</v>
      </c>
      <c r="V153" s="176">
        <f>SUM(V$98:V102)</f>
        <v>4198026.3100000126</v>
      </c>
      <c r="W153" s="176">
        <f>SUM(W$98:W102)</f>
        <v>4211204.800000011</v>
      </c>
      <c r="X153" s="176">
        <f>SUM(X$98:X102)</f>
        <v>4063117.5299999919</v>
      </c>
      <c r="Y153" s="176">
        <f>SUM(Y$98:Y102)</f>
        <v>4196281.189999992</v>
      </c>
      <c r="Z153" s="176">
        <f>SUM(Z$98:Z102)</f>
        <v>4786372.159999988</v>
      </c>
      <c r="AA153" s="176">
        <f>SUM(AA$98:AA102)</f>
        <v>4287206.709999999</v>
      </c>
      <c r="AB153" s="176">
        <f>SUM(AB$98:AB102)</f>
        <v>4515601.9299999988</v>
      </c>
      <c r="AC153" s="176">
        <f>SUM(AC$98:AC102)</f>
        <v>4639988.5699999901</v>
      </c>
      <c r="AD153" s="176">
        <f>SUM(AD$98:AD102)</f>
        <v>4542023.1599999843</v>
      </c>
      <c r="AE153" s="176">
        <f>SUM(AE$98:AE102)</f>
        <v>4964988.4300000146</v>
      </c>
      <c r="AF153" s="176">
        <f>SUM(AF$98:AF102)</f>
        <v>4837247.6799999969</v>
      </c>
      <c r="AG153" s="176">
        <f>SUM(AG$98:AG102)</f>
        <v>5593446.4399999958</v>
      </c>
      <c r="AH153" s="176">
        <f>SUM(AH$98:AH102)</f>
        <v>5132941.4099999983</v>
      </c>
      <c r="AI153" s="176">
        <f>SUM(AI$98:AI102)</f>
        <v>4612761.2399999928</v>
      </c>
      <c r="AJ153" s="176">
        <f>SUM(AJ$98:AJ102)</f>
        <v>3478675.1399999922</v>
      </c>
      <c r="AK153" s="176">
        <f>SUM(AK$98:AK102)</f>
        <v>1819598.1699999985</v>
      </c>
      <c r="AL153" s="176">
        <f>SUM(AL$98:AL102)</f>
        <v>571271.51999999979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3049618.1800000044</v>
      </c>
      <c r="D154" s="176">
        <f>SUM(D$98:D103)</f>
        <v>3006188.2400000012</v>
      </c>
      <c r="E154" s="176">
        <f>SUM(E$98:E103)</f>
        <v>3268286.9899999974</v>
      </c>
      <c r="F154" s="176">
        <f>SUM(F$98:F103)</f>
        <v>3436390.1599999988</v>
      </c>
      <c r="G154" s="176">
        <f>SUM(G$98:G103)</f>
        <v>3636575.5099999947</v>
      </c>
      <c r="H154" s="176">
        <f>SUM(H$98:H103)</f>
        <v>3756797.1999999969</v>
      </c>
      <c r="I154" s="176">
        <f>SUM(I$98:I103)</f>
        <v>3914056.2999999975</v>
      </c>
      <c r="J154" s="176">
        <f>SUM(J$98:J103)</f>
        <v>3784321.7699999972</v>
      </c>
      <c r="K154" s="176">
        <f>SUM(K$98:K103)</f>
        <v>3623311.120000001</v>
      </c>
      <c r="L154" s="176">
        <f>SUM(L$98:L103)</f>
        <v>3281017.0600000042</v>
      </c>
      <c r="M154" s="176">
        <f>SUM(M$98:M103)</f>
        <v>3383374.2200000053</v>
      </c>
      <c r="N154" s="176">
        <f>SUM(N$98:N103)</f>
        <v>4131990.0500000017</v>
      </c>
      <c r="O154" s="176">
        <f>SUM(O$98:O103)</f>
        <v>3794433.0700000077</v>
      </c>
      <c r="P154" s="176">
        <f>SUM(P$98:P103)</f>
        <v>3884904.9600000074</v>
      </c>
      <c r="Q154" s="176">
        <f>SUM(Q$98:Q103)</f>
        <v>3993007.4900000091</v>
      </c>
      <c r="R154" s="176">
        <f>SUM(R$98:R103)</f>
        <v>3856817.810000007</v>
      </c>
      <c r="S154" s="176">
        <f>SUM(S$98:S103)</f>
        <v>4398903.3600000134</v>
      </c>
      <c r="T154" s="176">
        <f>SUM(T$98:T103)</f>
        <v>4326555.4900000114</v>
      </c>
      <c r="U154" s="176">
        <f>SUM(U$98:U103)</f>
        <v>4462271.0100000063</v>
      </c>
      <c r="V154" s="176">
        <f>SUM(V$98:V103)</f>
        <v>4219351.9800000126</v>
      </c>
      <c r="W154" s="176">
        <f>SUM(W$98:W103)</f>
        <v>4249315.6000000108</v>
      </c>
      <c r="X154" s="176">
        <f>SUM(X$98:X103)</f>
        <v>4099790.5899999919</v>
      </c>
      <c r="Y154" s="176">
        <f>SUM(Y$98:Y103)</f>
        <v>4218513.3799999924</v>
      </c>
      <c r="Z154" s="176">
        <f>SUM(Z$98:Z103)</f>
        <v>4827358.1299999878</v>
      </c>
      <c r="AA154" s="176">
        <f>SUM(AA$98:AA103)</f>
        <v>4318701.6999999993</v>
      </c>
      <c r="AB154" s="176">
        <f>SUM(AB$98:AB103)</f>
        <v>4549125.2999999989</v>
      </c>
      <c r="AC154" s="176">
        <f>SUM(AC$98:AC103)</f>
        <v>4685246.7899999898</v>
      </c>
      <c r="AD154" s="176">
        <f>SUM(AD$98:AD103)</f>
        <v>4568608.0999999847</v>
      </c>
      <c r="AE154" s="176">
        <f>SUM(AE$98:AE103)</f>
        <v>5014724.5700000143</v>
      </c>
      <c r="AF154" s="176">
        <f>SUM(AF$98:AF103)</f>
        <v>4862858.009999997</v>
      </c>
      <c r="AG154" s="176">
        <f>SUM(AG$98:AG103)</f>
        <v>5628476.9799999958</v>
      </c>
      <c r="AH154" s="176">
        <f>SUM(AH$98:AH103)</f>
        <v>5132941.4099999983</v>
      </c>
      <c r="AI154" s="176">
        <f>SUM(AI$98:AI103)</f>
        <v>4612761.2399999928</v>
      </c>
      <c r="AJ154" s="176">
        <f>SUM(AJ$98:AJ103)</f>
        <v>3478675.1399999922</v>
      </c>
      <c r="AK154" s="176">
        <f>SUM(AK$98:AK103)</f>
        <v>1819598.1699999985</v>
      </c>
      <c r="AL154" s="176">
        <f>SUM(AL$98:AL103)</f>
        <v>571271.51999999979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3081577.4600000042</v>
      </c>
      <c r="D155" s="176">
        <f>SUM(D$98:D104)</f>
        <v>3081305.2500000009</v>
      </c>
      <c r="E155" s="176">
        <f>SUM(E$98:E104)</f>
        <v>3361658.6099999975</v>
      </c>
      <c r="F155" s="176">
        <f>SUM(F$98:F104)</f>
        <v>3489376.0499999989</v>
      </c>
      <c r="G155" s="176">
        <f>SUM(G$98:G104)</f>
        <v>3674211.9499999946</v>
      </c>
      <c r="H155" s="176">
        <f>SUM(H$98:H104)</f>
        <v>3795755.759999997</v>
      </c>
      <c r="I155" s="176">
        <f>SUM(I$98:I104)</f>
        <v>3939896.5099999974</v>
      </c>
      <c r="J155" s="176">
        <f>SUM(J$98:J104)</f>
        <v>3809905.549999997</v>
      </c>
      <c r="K155" s="176">
        <f>SUM(K$98:K104)</f>
        <v>3654353.370000001</v>
      </c>
      <c r="L155" s="176">
        <f>SUM(L$98:L104)</f>
        <v>3339877.1400000043</v>
      </c>
      <c r="M155" s="176">
        <f>SUM(M$98:M104)</f>
        <v>3414306.2300000051</v>
      </c>
      <c r="N155" s="176">
        <f>SUM(N$98:N104)</f>
        <v>4177641.4100000015</v>
      </c>
      <c r="O155" s="176">
        <f>SUM(O$98:O104)</f>
        <v>3808357.3000000077</v>
      </c>
      <c r="P155" s="176">
        <f>SUM(P$98:P104)</f>
        <v>3902513.2100000074</v>
      </c>
      <c r="Q155" s="176">
        <f>SUM(Q$98:Q104)</f>
        <v>4004076.8600000092</v>
      </c>
      <c r="R155" s="176">
        <f>SUM(R$98:R104)</f>
        <v>3871317.1700000069</v>
      </c>
      <c r="S155" s="176">
        <f>SUM(S$98:S104)</f>
        <v>4448148.2300000135</v>
      </c>
      <c r="T155" s="176">
        <f>SUM(T$98:T104)</f>
        <v>4345971.7700000117</v>
      </c>
      <c r="U155" s="176">
        <f>SUM(U$98:U104)</f>
        <v>4501919.7800000058</v>
      </c>
      <c r="V155" s="176">
        <f>SUM(V$98:V104)</f>
        <v>4253649.3600000124</v>
      </c>
      <c r="W155" s="176">
        <f>SUM(W$98:W104)</f>
        <v>4276522.340000011</v>
      </c>
      <c r="X155" s="176">
        <f>SUM(X$98:X104)</f>
        <v>4165009.0299999919</v>
      </c>
      <c r="Y155" s="176">
        <f>SUM(Y$98:Y104)</f>
        <v>4242301.1799999923</v>
      </c>
      <c r="Z155" s="176">
        <f>SUM(Z$98:Z104)</f>
        <v>4863311.5199999874</v>
      </c>
      <c r="AA155" s="176">
        <f>SUM(AA$98:AA104)</f>
        <v>4349365.3499999996</v>
      </c>
      <c r="AB155" s="176">
        <f>SUM(AB$98:AB104)</f>
        <v>4587878.9799999986</v>
      </c>
      <c r="AC155" s="176">
        <f>SUM(AC$98:AC104)</f>
        <v>4707348.0199999902</v>
      </c>
      <c r="AD155" s="176">
        <f>SUM(AD$98:AD104)</f>
        <v>4616274.5999999847</v>
      </c>
      <c r="AE155" s="176">
        <f>SUM(AE$98:AE104)</f>
        <v>5041600.6100000143</v>
      </c>
      <c r="AF155" s="176">
        <f>SUM(AF$98:AF104)</f>
        <v>4885085.5199999968</v>
      </c>
      <c r="AG155" s="176">
        <f>SUM(AG$98:AG104)</f>
        <v>5628476.9799999958</v>
      </c>
      <c r="AH155" s="176">
        <f>SUM(AH$98:AH104)</f>
        <v>5132941.4099999983</v>
      </c>
      <c r="AI155" s="176">
        <f>SUM(AI$98:AI104)</f>
        <v>4612761.2399999928</v>
      </c>
      <c r="AJ155" s="176">
        <f>SUM(AJ$98:AJ104)</f>
        <v>3478675.1399999922</v>
      </c>
      <c r="AK155" s="176">
        <f>SUM(AK$98:AK104)</f>
        <v>1819598.1699999985</v>
      </c>
      <c r="AL155" s="176">
        <f>SUM(AL$98:AL104)</f>
        <v>571271.51999999979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3155624.6400000043</v>
      </c>
      <c r="D156" s="176">
        <f>SUM(D$98:D105)</f>
        <v>3128450.0900000008</v>
      </c>
      <c r="E156" s="176">
        <f>SUM(E$98:E105)</f>
        <v>3401296.8499999978</v>
      </c>
      <c r="F156" s="176">
        <f>SUM(F$98:F105)</f>
        <v>3514485.0899999989</v>
      </c>
      <c r="G156" s="176">
        <f>SUM(G$98:G105)</f>
        <v>3695567.9499999946</v>
      </c>
      <c r="H156" s="176">
        <f>SUM(H$98:H105)</f>
        <v>3808788.1099999971</v>
      </c>
      <c r="I156" s="176">
        <f>SUM(I$98:I105)</f>
        <v>3964625.1999999974</v>
      </c>
      <c r="J156" s="176">
        <f>SUM(J$98:J105)</f>
        <v>3826167.7899999972</v>
      </c>
      <c r="K156" s="176">
        <f>SUM(K$98:K105)</f>
        <v>3705302.7500000009</v>
      </c>
      <c r="L156" s="176">
        <f>SUM(L$98:L105)</f>
        <v>3380867.7100000042</v>
      </c>
      <c r="M156" s="176">
        <f>SUM(M$98:M105)</f>
        <v>3508818.090000005</v>
      </c>
      <c r="N156" s="176">
        <f>SUM(N$98:N105)</f>
        <v>4206137.6900000013</v>
      </c>
      <c r="O156" s="176">
        <f>SUM(O$98:O105)</f>
        <v>3829365.1000000075</v>
      </c>
      <c r="P156" s="176">
        <f>SUM(P$98:P105)</f>
        <v>3925803.6100000073</v>
      </c>
      <c r="Q156" s="176">
        <f>SUM(Q$98:Q105)</f>
        <v>4014005.2300000093</v>
      </c>
      <c r="R156" s="176">
        <f>SUM(R$98:R105)</f>
        <v>3907999.6000000071</v>
      </c>
      <c r="S156" s="176">
        <f>SUM(S$98:S105)</f>
        <v>4476938.1700000139</v>
      </c>
      <c r="T156" s="176">
        <f>SUM(T$98:T105)</f>
        <v>4378251.1900000116</v>
      </c>
      <c r="U156" s="176">
        <f>SUM(U$98:U105)</f>
        <v>4517152.400000006</v>
      </c>
      <c r="V156" s="176">
        <f>SUM(V$98:V105)</f>
        <v>4274868.7600000128</v>
      </c>
      <c r="W156" s="176">
        <f>SUM(W$98:W105)</f>
        <v>4296047.6300000111</v>
      </c>
      <c r="X156" s="176">
        <f>SUM(X$98:X105)</f>
        <v>4197720.3499999922</v>
      </c>
      <c r="Y156" s="176">
        <f>SUM(Y$98:Y105)</f>
        <v>4277117.1999999918</v>
      </c>
      <c r="Z156" s="176">
        <f>SUM(Z$98:Z105)</f>
        <v>4896837.4599999879</v>
      </c>
      <c r="AA156" s="176">
        <f>SUM(AA$98:AA105)</f>
        <v>4379469.42</v>
      </c>
      <c r="AB156" s="176">
        <f>SUM(AB$98:AB105)</f>
        <v>4615843.9799999986</v>
      </c>
      <c r="AC156" s="176">
        <f>SUM(AC$98:AC105)</f>
        <v>4748436.5899999905</v>
      </c>
      <c r="AD156" s="176">
        <f>SUM(AD$98:AD105)</f>
        <v>4642222.1599999843</v>
      </c>
      <c r="AE156" s="176">
        <f>SUM(AE$98:AE105)</f>
        <v>5070741.000000014</v>
      </c>
      <c r="AF156" s="176">
        <f>SUM(AF$98:AF105)</f>
        <v>4885085.5199999968</v>
      </c>
      <c r="AG156" s="176">
        <f>SUM(AG$98:AG105)</f>
        <v>5628476.9799999958</v>
      </c>
      <c r="AH156" s="176">
        <f>SUM(AH$98:AH105)</f>
        <v>5132941.4099999983</v>
      </c>
      <c r="AI156" s="176">
        <f>SUM(AI$98:AI105)</f>
        <v>4612761.2399999928</v>
      </c>
      <c r="AJ156" s="176">
        <f>SUM(AJ$98:AJ105)</f>
        <v>3478675.1399999922</v>
      </c>
      <c r="AK156" s="176">
        <f>SUM(AK$98:AK105)</f>
        <v>1819598.1699999985</v>
      </c>
      <c r="AL156" s="176">
        <f>SUM(AL$98:AL105)</f>
        <v>571271.51999999979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3199405.9500000044</v>
      </c>
      <c r="D157" s="176">
        <f>SUM(D$98:D106)</f>
        <v>3140818.1800000006</v>
      </c>
      <c r="E157" s="176">
        <f>SUM(E$98:E106)</f>
        <v>3440281.299999998</v>
      </c>
      <c r="F157" s="176">
        <f>SUM(F$98:F106)</f>
        <v>3536011.1099999989</v>
      </c>
      <c r="G157" s="176">
        <f>SUM(G$98:G106)</f>
        <v>3702503.2899999944</v>
      </c>
      <c r="H157" s="176">
        <f>SUM(H$98:H106)</f>
        <v>3837529.9999999972</v>
      </c>
      <c r="I157" s="176">
        <f>SUM(I$98:I106)</f>
        <v>3984849.0099999974</v>
      </c>
      <c r="J157" s="176">
        <f>SUM(J$98:J106)</f>
        <v>3854218.3299999973</v>
      </c>
      <c r="K157" s="176">
        <f>SUM(K$98:K106)</f>
        <v>3734635.9800000009</v>
      </c>
      <c r="L157" s="176">
        <f>SUM(L$98:L106)</f>
        <v>3417853.6600000043</v>
      </c>
      <c r="M157" s="176">
        <f>SUM(M$98:M106)</f>
        <v>3554680.5800000052</v>
      </c>
      <c r="N157" s="176">
        <f>SUM(N$98:N106)</f>
        <v>4234258.7700000014</v>
      </c>
      <c r="O157" s="176">
        <f>SUM(O$98:O106)</f>
        <v>3842092.2100000074</v>
      </c>
      <c r="P157" s="176">
        <f>SUM(P$98:P106)</f>
        <v>3944638.7200000072</v>
      </c>
      <c r="Q157" s="176">
        <f>SUM(Q$98:Q106)</f>
        <v>4047996.0400000094</v>
      </c>
      <c r="R157" s="176">
        <f>SUM(R$98:R106)</f>
        <v>3935997.980000007</v>
      </c>
      <c r="S157" s="176">
        <f>SUM(S$98:S106)</f>
        <v>4502701.4900000142</v>
      </c>
      <c r="T157" s="176">
        <f>SUM(T$98:T106)</f>
        <v>4395505.590000012</v>
      </c>
      <c r="U157" s="176">
        <f>SUM(U$98:U106)</f>
        <v>4535162.0400000056</v>
      </c>
      <c r="V157" s="176">
        <f>SUM(V$98:V106)</f>
        <v>4294017.8200000124</v>
      </c>
      <c r="W157" s="176">
        <f>SUM(W$98:W106)</f>
        <v>4310503.9600000111</v>
      </c>
      <c r="X157" s="176">
        <f>SUM(X$98:X106)</f>
        <v>4229068.0499999924</v>
      </c>
      <c r="Y157" s="176">
        <f>SUM(Y$98:Y106)</f>
        <v>4290202.2199999914</v>
      </c>
      <c r="Z157" s="176">
        <f>SUM(Z$98:Z106)</f>
        <v>4923235.0999999875</v>
      </c>
      <c r="AA157" s="176">
        <f>SUM(AA$98:AA106)</f>
        <v>4405902.28</v>
      </c>
      <c r="AB157" s="176">
        <f>SUM(AB$98:AB106)</f>
        <v>4661084.459999999</v>
      </c>
      <c r="AC157" s="176">
        <f>SUM(AC$98:AC106)</f>
        <v>4769512.7799999909</v>
      </c>
      <c r="AD157" s="176">
        <f>SUM(AD$98:AD106)</f>
        <v>4661068.5199999847</v>
      </c>
      <c r="AE157" s="176">
        <f>SUM(AE$98:AE106)</f>
        <v>5070741.000000014</v>
      </c>
      <c r="AF157" s="176">
        <f>SUM(AF$98:AF106)</f>
        <v>4885085.5199999968</v>
      </c>
      <c r="AG157" s="176">
        <f>SUM(AG$98:AG106)</f>
        <v>5628476.9799999958</v>
      </c>
      <c r="AH157" s="176">
        <f>SUM(AH$98:AH106)</f>
        <v>5132941.4099999983</v>
      </c>
      <c r="AI157" s="176">
        <f>SUM(AI$98:AI106)</f>
        <v>4612761.2399999928</v>
      </c>
      <c r="AJ157" s="176">
        <f>SUM(AJ$98:AJ106)</f>
        <v>3478675.1399999922</v>
      </c>
      <c r="AK157" s="176">
        <f>SUM(AK$98:AK106)</f>
        <v>1819598.1699999985</v>
      </c>
      <c r="AL157" s="176">
        <f>SUM(AL$98:AL106)</f>
        <v>571271.51999999979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3238878.7300000042</v>
      </c>
      <c r="D158" s="176">
        <f>SUM(D$98:D107)</f>
        <v>3159923.8200000008</v>
      </c>
      <c r="E158" s="176">
        <f>SUM(E$98:E107)</f>
        <v>3451562.8099999977</v>
      </c>
      <c r="F158" s="176">
        <f>SUM(F$98:F107)</f>
        <v>3540134.189999999</v>
      </c>
      <c r="G158" s="176">
        <f>SUM(G$98:G107)</f>
        <v>3711497.2899999944</v>
      </c>
      <c r="H158" s="176">
        <f>SUM(H$98:H107)</f>
        <v>3851700.6599999974</v>
      </c>
      <c r="I158" s="176">
        <f>SUM(I$98:I107)</f>
        <v>4046624.8599999975</v>
      </c>
      <c r="J158" s="176">
        <f>SUM(J$98:J107)</f>
        <v>3873290.2399999974</v>
      </c>
      <c r="K158" s="176">
        <f>SUM(K$98:K107)</f>
        <v>3779593.4800000009</v>
      </c>
      <c r="L158" s="176">
        <f>SUM(L$98:L107)</f>
        <v>3437053.7000000044</v>
      </c>
      <c r="M158" s="176">
        <f>SUM(M$98:M107)</f>
        <v>3571153.2700000051</v>
      </c>
      <c r="N158" s="176">
        <f>SUM(N$98:N107)</f>
        <v>4240982.6700000018</v>
      </c>
      <c r="O158" s="176">
        <f>SUM(O$98:O107)</f>
        <v>3854725.9700000072</v>
      </c>
      <c r="P158" s="176">
        <f>SUM(P$98:P107)</f>
        <v>3964413.060000007</v>
      </c>
      <c r="Q158" s="176">
        <f>SUM(Q$98:Q107)</f>
        <v>4073170.2300000093</v>
      </c>
      <c r="R158" s="176">
        <f>SUM(R$98:R107)</f>
        <v>3950557.2000000072</v>
      </c>
      <c r="S158" s="176">
        <f>SUM(S$98:S107)</f>
        <v>4517221.7200000146</v>
      </c>
      <c r="T158" s="176">
        <f>SUM(T$98:T107)</f>
        <v>4401197.7000000123</v>
      </c>
      <c r="U158" s="176">
        <f>SUM(U$98:U107)</f>
        <v>4553259.3600000059</v>
      </c>
      <c r="V158" s="176">
        <f>SUM(V$98:V107)</f>
        <v>4307057.8100000126</v>
      </c>
      <c r="W158" s="176">
        <f>SUM(W$98:W107)</f>
        <v>4332893.8700000113</v>
      </c>
      <c r="X158" s="176">
        <f>SUM(X$98:X107)</f>
        <v>4238464.5999999922</v>
      </c>
      <c r="Y158" s="176">
        <f>SUM(Y$98:Y107)</f>
        <v>4306686.1799999913</v>
      </c>
      <c r="Z158" s="176">
        <f>SUM(Z$98:Z107)</f>
        <v>4944278.2299999874</v>
      </c>
      <c r="AA158" s="176">
        <f>SUM(AA$98:AA107)</f>
        <v>4432896.3500000006</v>
      </c>
      <c r="AB158" s="176">
        <f>SUM(AB$98:AB107)</f>
        <v>4680303.9899999993</v>
      </c>
      <c r="AC158" s="176">
        <f>SUM(AC$98:AC107)</f>
        <v>4804281.4399999911</v>
      </c>
      <c r="AD158" s="176">
        <f>SUM(AD$98:AD107)</f>
        <v>4661068.5199999847</v>
      </c>
      <c r="AE158" s="176">
        <f>SUM(AE$98:AE107)</f>
        <v>5070741.000000014</v>
      </c>
      <c r="AF158" s="176">
        <f>SUM(AF$98:AF107)</f>
        <v>4885085.5199999968</v>
      </c>
      <c r="AG158" s="176">
        <f>SUM(AG$98:AG107)</f>
        <v>5628476.9799999958</v>
      </c>
      <c r="AH158" s="176">
        <f>SUM(AH$98:AH107)</f>
        <v>5132941.4099999983</v>
      </c>
      <c r="AI158" s="176">
        <f>SUM(AI$98:AI107)</f>
        <v>4612761.2399999928</v>
      </c>
      <c r="AJ158" s="176">
        <f>SUM(AJ$98:AJ107)</f>
        <v>3478675.1399999922</v>
      </c>
      <c r="AK158" s="176">
        <f>SUM(AK$98:AK107)</f>
        <v>1819598.1699999985</v>
      </c>
      <c r="AL158" s="176">
        <f>SUM(AL$98:AL107)</f>
        <v>571271.51999999979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3247774.4000000041</v>
      </c>
      <c r="D159" s="176">
        <f>SUM(D$98:D108)</f>
        <v>3169327.1400000006</v>
      </c>
      <c r="E159" s="176">
        <f>SUM(E$98:E108)</f>
        <v>3454483.0399999977</v>
      </c>
      <c r="F159" s="176">
        <f>SUM(F$98:F108)</f>
        <v>3545073.2899999991</v>
      </c>
      <c r="G159" s="176">
        <f>SUM(G$98:G108)</f>
        <v>3722278.5499999942</v>
      </c>
      <c r="H159" s="176">
        <f>SUM(H$98:H108)</f>
        <v>3881740.5099999974</v>
      </c>
      <c r="I159" s="176">
        <f>SUM(I$98:I108)</f>
        <v>4060100.7899999977</v>
      </c>
      <c r="J159" s="176">
        <f>SUM(J$98:J108)</f>
        <v>3887238.7599999974</v>
      </c>
      <c r="K159" s="176">
        <f>SUM(K$98:K108)</f>
        <v>3806604.7400000007</v>
      </c>
      <c r="L159" s="176">
        <f>SUM(L$98:L108)</f>
        <v>3449762.4600000042</v>
      </c>
      <c r="M159" s="176">
        <f>SUM(M$98:M108)</f>
        <v>3576033.1400000053</v>
      </c>
      <c r="N159" s="176">
        <f>SUM(N$98:N108)</f>
        <v>4251680.2800000021</v>
      </c>
      <c r="O159" s="176">
        <f>SUM(O$98:O108)</f>
        <v>3868468.2400000072</v>
      </c>
      <c r="P159" s="176">
        <f>SUM(P$98:P108)</f>
        <v>3987163.1400000071</v>
      </c>
      <c r="Q159" s="176">
        <f>SUM(Q$98:Q108)</f>
        <v>4099140.9800000093</v>
      </c>
      <c r="R159" s="176">
        <f>SUM(R$98:R108)</f>
        <v>3955828.5500000073</v>
      </c>
      <c r="S159" s="176">
        <f>SUM(S$98:S108)</f>
        <v>4521784.5000000149</v>
      </c>
      <c r="T159" s="176">
        <f>SUM(T$98:T108)</f>
        <v>4416634.2500000121</v>
      </c>
      <c r="U159" s="176">
        <f>SUM(U$98:U108)</f>
        <v>4581966.4100000057</v>
      </c>
      <c r="V159" s="176">
        <f>SUM(V$98:V108)</f>
        <v>4326023.4700000128</v>
      </c>
      <c r="W159" s="176">
        <f>SUM(W$98:W108)</f>
        <v>4344062.260000011</v>
      </c>
      <c r="X159" s="176">
        <f>SUM(X$98:X108)</f>
        <v>4257872.0499999924</v>
      </c>
      <c r="Y159" s="176">
        <f>SUM(Y$98:Y108)</f>
        <v>4326187.5299999909</v>
      </c>
      <c r="Z159" s="176">
        <f>SUM(Z$98:Z108)</f>
        <v>4957852.289999987</v>
      </c>
      <c r="AA159" s="176">
        <f>SUM(AA$98:AA108)</f>
        <v>4447257.4200000009</v>
      </c>
      <c r="AB159" s="176">
        <f>SUM(AB$98:AB108)</f>
        <v>4709219.6099999994</v>
      </c>
      <c r="AC159" s="176">
        <f>SUM(AC$98:AC108)</f>
        <v>4804281.4399999911</v>
      </c>
      <c r="AD159" s="176">
        <f>SUM(AD$98:AD108)</f>
        <v>4661068.5199999847</v>
      </c>
      <c r="AE159" s="176">
        <f>SUM(AE$98:AE108)</f>
        <v>5070741.000000014</v>
      </c>
      <c r="AF159" s="176">
        <f>SUM(AF$98:AF108)</f>
        <v>4885085.5199999968</v>
      </c>
      <c r="AG159" s="176">
        <f>SUM(AG$98:AG108)</f>
        <v>5628476.9799999958</v>
      </c>
      <c r="AH159" s="176">
        <f>SUM(AH$98:AH108)</f>
        <v>5132941.4099999983</v>
      </c>
      <c r="AI159" s="176">
        <f>SUM(AI$98:AI108)</f>
        <v>4612761.2399999928</v>
      </c>
      <c r="AJ159" s="176">
        <f>SUM(AJ$98:AJ108)</f>
        <v>3478675.1399999922</v>
      </c>
      <c r="AK159" s="176">
        <f>SUM(AK$98:AK108)</f>
        <v>1819598.1699999985</v>
      </c>
      <c r="AL159" s="176">
        <f>SUM(AL$98:AL108)</f>
        <v>571271.51999999979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3259026.7100000042</v>
      </c>
      <c r="D160" s="176">
        <f>SUM(D$98:D109)</f>
        <v>3175663.7900000005</v>
      </c>
      <c r="E160" s="176">
        <f>SUM(E$98:E109)</f>
        <v>3457778.6699999976</v>
      </c>
      <c r="F160" s="176">
        <f>SUM(F$98:F109)</f>
        <v>3551043.0399999991</v>
      </c>
      <c r="G160" s="176">
        <f>SUM(G$98:G109)</f>
        <v>3772363.2499999944</v>
      </c>
      <c r="H160" s="176">
        <f>SUM(H$98:H109)</f>
        <v>3888588.4999999977</v>
      </c>
      <c r="I160" s="176">
        <f>SUM(I$98:I109)</f>
        <v>4081862.0699999975</v>
      </c>
      <c r="J160" s="176">
        <f>SUM(J$98:J109)</f>
        <v>3901068.1499999976</v>
      </c>
      <c r="K160" s="176">
        <f>SUM(K$98:K109)</f>
        <v>3825822.4800000009</v>
      </c>
      <c r="L160" s="176">
        <f>SUM(L$98:L109)</f>
        <v>3459382.7500000042</v>
      </c>
      <c r="M160" s="176">
        <f>SUM(M$98:M109)</f>
        <v>3584092.0000000051</v>
      </c>
      <c r="N160" s="176">
        <f>SUM(N$98:N109)</f>
        <v>4272119.8600000022</v>
      </c>
      <c r="O160" s="176">
        <f>SUM(O$98:O109)</f>
        <v>3880521.3800000073</v>
      </c>
      <c r="P160" s="176">
        <f>SUM(P$98:P109)</f>
        <v>4004863.0300000072</v>
      </c>
      <c r="Q160" s="176">
        <f>SUM(Q$98:Q109)</f>
        <v>4101223.8100000094</v>
      </c>
      <c r="R160" s="176">
        <f>SUM(R$98:R109)</f>
        <v>3960698.6400000071</v>
      </c>
      <c r="S160" s="176">
        <f>SUM(S$98:S109)</f>
        <v>4542729.1100000152</v>
      </c>
      <c r="T160" s="176">
        <f>SUM(T$98:T109)</f>
        <v>4429332.7800000124</v>
      </c>
      <c r="U160" s="176">
        <f>SUM(U$98:U109)</f>
        <v>4597927.730000006</v>
      </c>
      <c r="V160" s="176">
        <f>SUM(V$98:V109)</f>
        <v>4337775.8100000126</v>
      </c>
      <c r="W160" s="176">
        <f>SUM(W$98:W109)</f>
        <v>4358789.8200000105</v>
      </c>
      <c r="X160" s="176">
        <f>SUM(X$98:X109)</f>
        <v>4280191.2599999923</v>
      </c>
      <c r="Y160" s="176">
        <f>SUM(Y$98:Y109)</f>
        <v>4337376.4099999908</v>
      </c>
      <c r="Z160" s="176">
        <f>SUM(Z$98:Z109)</f>
        <v>4970042.7999999868</v>
      </c>
      <c r="AA160" s="176">
        <f>SUM(AA$98:AA109)</f>
        <v>4461740.7500000009</v>
      </c>
      <c r="AB160" s="176">
        <f>SUM(AB$98:AB109)</f>
        <v>4709219.6099999994</v>
      </c>
      <c r="AC160" s="176">
        <f>SUM(AC$98:AC109)</f>
        <v>4804281.4399999911</v>
      </c>
      <c r="AD160" s="176">
        <f>SUM(AD$98:AD109)</f>
        <v>4661068.5199999847</v>
      </c>
      <c r="AE160" s="176">
        <f>SUM(AE$98:AE109)</f>
        <v>5070741.000000014</v>
      </c>
      <c r="AF160" s="176">
        <f>SUM(AF$98:AF109)</f>
        <v>4885085.5199999968</v>
      </c>
      <c r="AG160" s="176">
        <f>SUM(AG$98:AG109)</f>
        <v>5628476.9799999958</v>
      </c>
      <c r="AH160" s="176">
        <f>SUM(AH$98:AH109)</f>
        <v>5132941.4099999983</v>
      </c>
      <c r="AI160" s="176">
        <f>SUM(AI$98:AI109)</f>
        <v>4612761.2399999928</v>
      </c>
      <c r="AJ160" s="176">
        <f>SUM(AJ$98:AJ109)</f>
        <v>3478675.1399999922</v>
      </c>
      <c r="AK160" s="176">
        <f>SUM(AK$98:AK109)</f>
        <v>1819598.1699999985</v>
      </c>
      <c r="AL160" s="176">
        <f>SUM(AL$98:AL109)</f>
        <v>571271.51999999979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3262295.6400000043</v>
      </c>
      <c r="D161" s="176">
        <f>SUM(D$98:D110)</f>
        <v>3182000.2700000005</v>
      </c>
      <c r="E161" s="176">
        <f>SUM(E$98:E110)</f>
        <v>3473366.6399999978</v>
      </c>
      <c r="F161" s="176">
        <f>SUM(F$98:F110)</f>
        <v>3574286.189999999</v>
      </c>
      <c r="G161" s="176">
        <f>SUM(G$98:G110)</f>
        <v>3784183.6899999944</v>
      </c>
      <c r="H161" s="176">
        <f>SUM(H$98:H110)</f>
        <v>3931192.0999999978</v>
      </c>
      <c r="I161" s="176">
        <f>SUM(I$98:I110)</f>
        <v>4100913.6299999976</v>
      </c>
      <c r="J161" s="176">
        <f>SUM(J$98:J110)</f>
        <v>3910239.7799999975</v>
      </c>
      <c r="K161" s="176">
        <f>SUM(K$98:K110)</f>
        <v>3839335.5300000007</v>
      </c>
      <c r="L161" s="176">
        <f>SUM(L$98:L110)</f>
        <v>3476842.280000004</v>
      </c>
      <c r="M161" s="176">
        <f>SUM(M$98:M110)</f>
        <v>3595969.8300000052</v>
      </c>
      <c r="N161" s="176">
        <f>SUM(N$98:N110)</f>
        <v>4276374.7100000018</v>
      </c>
      <c r="O161" s="176">
        <f>SUM(O$98:O110)</f>
        <v>3899448.0800000075</v>
      </c>
      <c r="P161" s="176">
        <f>SUM(P$98:P110)</f>
        <v>4008927.5900000073</v>
      </c>
      <c r="Q161" s="176">
        <f>SUM(Q$98:Q110)</f>
        <v>4103634.5200000093</v>
      </c>
      <c r="R161" s="176">
        <f>SUM(R$98:R110)</f>
        <v>3968278.8000000073</v>
      </c>
      <c r="S161" s="176">
        <f>SUM(S$98:S110)</f>
        <v>4550096.8900000155</v>
      </c>
      <c r="T161" s="176">
        <f>SUM(T$98:T110)</f>
        <v>4445107.9100000123</v>
      </c>
      <c r="U161" s="176">
        <f>SUM(U$98:U110)</f>
        <v>4607377.1800000062</v>
      </c>
      <c r="V161" s="176">
        <f>SUM(V$98:V110)</f>
        <v>4353004.2700000126</v>
      </c>
      <c r="W161" s="176">
        <f>SUM(W$98:W110)</f>
        <v>4368951.8300000103</v>
      </c>
      <c r="X161" s="176">
        <f>SUM(X$98:X110)</f>
        <v>4287832.4499999927</v>
      </c>
      <c r="Y161" s="176">
        <f>SUM(Y$98:Y110)</f>
        <v>4350329.6799999904</v>
      </c>
      <c r="Z161" s="176">
        <f>SUM(Z$98:Z110)</f>
        <v>4984576.0699999863</v>
      </c>
      <c r="AA161" s="176">
        <f>SUM(AA$98:AA110)</f>
        <v>4461740.7500000009</v>
      </c>
      <c r="AB161" s="176">
        <f>SUM(AB$98:AB110)</f>
        <v>4709219.6099999994</v>
      </c>
      <c r="AC161" s="176">
        <f>SUM(AC$98:AC110)</f>
        <v>4804281.4399999911</v>
      </c>
      <c r="AD161" s="176">
        <f>SUM(AD$98:AD110)</f>
        <v>4661068.5199999847</v>
      </c>
      <c r="AE161" s="176">
        <f>SUM(AE$98:AE110)</f>
        <v>5070741.000000014</v>
      </c>
      <c r="AF161" s="176">
        <f>SUM(AF$98:AF110)</f>
        <v>4885085.5199999968</v>
      </c>
      <c r="AG161" s="176">
        <f>SUM(AG$98:AG110)</f>
        <v>5628476.9799999958</v>
      </c>
      <c r="AH161" s="176">
        <f>SUM(AH$98:AH110)</f>
        <v>5132941.4099999983</v>
      </c>
      <c r="AI161" s="176">
        <f>SUM(AI$98:AI110)</f>
        <v>4612761.2399999928</v>
      </c>
      <c r="AJ161" s="176">
        <f>SUM(AJ$98:AJ110)</f>
        <v>3478675.1399999922</v>
      </c>
      <c r="AK161" s="176">
        <f>SUM(AK$98:AK110)</f>
        <v>1819598.1699999985</v>
      </c>
      <c r="AL161" s="176">
        <f>SUM(AL$98:AL110)</f>
        <v>571271.51999999979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3268590.5300000045</v>
      </c>
      <c r="D162" s="176">
        <f>SUM(D$98:D111)</f>
        <v>3193169.2300000004</v>
      </c>
      <c r="E162" s="176">
        <f>SUM(E$98:E111)</f>
        <v>3532493.1799999978</v>
      </c>
      <c r="F162" s="176">
        <f>SUM(F$98:F111)</f>
        <v>3581244.149999999</v>
      </c>
      <c r="G162" s="176">
        <f>SUM(G$98:G111)</f>
        <v>3808935.1099999943</v>
      </c>
      <c r="H162" s="176">
        <f>SUM(H$98:H111)</f>
        <v>3975291.9499999979</v>
      </c>
      <c r="I162" s="176">
        <f>SUM(I$98:I111)</f>
        <v>4109949.9799999977</v>
      </c>
      <c r="J162" s="176">
        <f>SUM(J$98:J111)</f>
        <v>3915551.1499999976</v>
      </c>
      <c r="K162" s="176">
        <f>SUM(K$98:K111)</f>
        <v>3859897.6700000009</v>
      </c>
      <c r="L162" s="176">
        <f>SUM(L$98:L111)</f>
        <v>3518064.4500000039</v>
      </c>
      <c r="M162" s="176">
        <f>SUM(M$98:M111)</f>
        <v>3611179.8300000052</v>
      </c>
      <c r="N162" s="176">
        <f>SUM(N$98:N111)</f>
        <v>4291589.200000002</v>
      </c>
      <c r="O162" s="176">
        <f>SUM(O$98:O111)</f>
        <v>3901026.8700000076</v>
      </c>
      <c r="P162" s="176">
        <f>SUM(P$98:P111)</f>
        <v>4009651.6400000071</v>
      </c>
      <c r="Q162" s="176">
        <f>SUM(Q$98:Q111)</f>
        <v>4105661.0600000094</v>
      </c>
      <c r="R162" s="176">
        <f>SUM(R$98:R111)</f>
        <v>3982257.9300000072</v>
      </c>
      <c r="S162" s="176">
        <f>SUM(S$98:S111)</f>
        <v>4560829.3900000155</v>
      </c>
      <c r="T162" s="176">
        <f>SUM(T$98:T111)</f>
        <v>4447085.3900000127</v>
      </c>
      <c r="U162" s="176">
        <f>SUM(U$98:U111)</f>
        <v>4622861.2100000065</v>
      </c>
      <c r="V162" s="176">
        <f>SUM(V$98:V111)</f>
        <v>4364296.5100000128</v>
      </c>
      <c r="W162" s="176">
        <f>SUM(W$98:W111)</f>
        <v>4381549.6800000099</v>
      </c>
      <c r="X162" s="176">
        <f>SUM(X$98:X111)</f>
        <v>4297884.0699999928</v>
      </c>
      <c r="Y162" s="176">
        <f>SUM(Y$98:Y111)</f>
        <v>4362488.2299999902</v>
      </c>
      <c r="Z162" s="176">
        <f>SUM(Z$98:Z111)</f>
        <v>4984576.0699999863</v>
      </c>
      <c r="AA162" s="176">
        <f>SUM(AA$98:AA111)</f>
        <v>4461740.7500000009</v>
      </c>
      <c r="AB162" s="176">
        <f>SUM(AB$98:AB111)</f>
        <v>4709219.6099999994</v>
      </c>
      <c r="AC162" s="176">
        <f>SUM(AC$98:AC111)</f>
        <v>4804281.4399999911</v>
      </c>
      <c r="AD162" s="176">
        <f>SUM(AD$98:AD111)</f>
        <v>4661068.5199999847</v>
      </c>
      <c r="AE162" s="176">
        <f>SUM(AE$98:AE111)</f>
        <v>5070741.000000014</v>
      </c>
      <c r="AF162" s="176">
        <f>SUM(AF$98:AF111)</f>
        <v>4885085.5199999968</v>
      </c>
      <c r="AG162" s="176">
        <f>SUM(AG$98:AG111)</f>
        <v>5628476.9799999958</v>
      </c>
      <c r="AH162" s="176">
        <f>SUM(AH$98:AH111)</f>
        <v>5132941.4099999983</v>
      </c>
      <c r="AI162" s="176">
        <f>SUM(AI$98:AI111)</f>
        <v>4612761.2399999928</v>
      </c>
      <c r="AJ162" s="176">
        <f>SUM(AJ$98:AJ111)</f>
        <v>3478675.1399999922</v>
      </c>
      <c r="AK162" s="176">
        <f>SUM(AK$98:AK111)</f>
        <v>1819598.1699999985</v>
      </c>
      <c r="AL162" s="176">
        <f>SUM(AL$98:AL111)</f>
        <v>571271.51999999979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3276367.9200000046</v>
      </c>
      <c r="D163" s="176">
        <f>SUM(D$98:D112)</f>
        <v>3242069.2000000007</v>
      </c>
      <c r="E163" s="176">
        <f>SUM(E$98:E112)</f>
        <v>3536771.549999998</v>
      </c>
      <c r="F163" s="176">
        <f>SUM(F$98:F112)</f>
        <v>3616249.7399999988</v>
      </c>
      <c r="G163" s="176">
        <f>SUM(G$98:G112)</f>
        <v>3856007.6999999941</v>
      </c>
      <c r="H163" s="176">
        <f>SUM(H$98:H112)</f>
        <v>3977570.4199999981</v>
      </c>
      <c r="I163" s="176">
        <f>SUM(I$98:I112)</f>
        <v>4111155.2999999975</v>
      </c>
      <c r="J163" s="176">
        <f>SUM(J$98:J112)</f>
        <v>3925693.3299999977</v>
      </c>
      <c r="K163" s="176">
        <f>SUM(K$98:K112)</f>
        <v>3875248.870000001</v>
      </c>
      <c r="L163" s="176">
        <f>SUM(L$98:L112)</f>
        <v>3529519.1000000038</v>
      </c>
      <c r="M163" s="176">
        <f>SUM(M$98:M112)</f>
        <v>3629038.9900000053</v>
      </c>
      <c r="N163" s="176">
        <f>SUM(N$98:N112)</f>
        <v>4293868.2800000021</v>
      </c>
      <c r="O163" s="176">
        <f>SUM(O$98:O112)</f>
        <v>3911661.5400000075</v>
      </c>
      <c r="P163" s="176">
        <f>SUM(P$98:P112)</f>
        <v>4011730.1200000071</v>
      </c>
      <c r="Q163" s="176">
        <f>SUM(Q$98:Q112)</f>
        <v>4132567.5000000093</v>
      </c>
      <c r="R163" s="176">
        <f>SUM(R$98:R112)</f>
        <v>3982919.9000000074</v>
      </c>
      <c r="S163" s="176">
        <f>SUM(S$98:S112)</f>
        <v>4562544.1500000153</v>
      </c>
      <c r="T163" s="176">
        <f>SUM(T$98:T112)</f>
        <v>4451714.7600000128</v>
      </c>
      <c r="U163" s="176">
        <f>SUM(U$98:U112)</f>
        <v>4645980.2500000065</v>
      </c>
      <c r="V163" s="176">
        <f>SUM(V$98:V112)</f>
        <v>4374501.0600000126</v>
      </c>
      <c r="W163" s="176">
        <f>SUM(W$98:W112)</f>
        <v>4384644.9900000095</v>
      </c>
      <c r="X163" s="176">
        <f>SUM(X$98:X112)</f>
        <v>4311182.3399999924</v>
      </c>
      <c r="Y163" s="176">
        <f>SUM(Y$98:Y112)</f>
        <v>4362488.2299999902</v>
      </c>
      <c r="Z163" s="176">
        <f>SUM(Z$98:Z112)</f>
        <v>4984576.0699999863</v>
      </c>
      <c r="AA163" s="176">
        <f>SUM(AA$98:AA112)</f>
        <v>4461740.7500000009</v>
      </c>
      <c r="AB163" s="176">
        <f>SUM(AB$98:AB112)</f>
        <v>4709219.6099999994</v>
      </c>
      <c r="AC163" s="176">
        <f>SUM(AC$98:AC112)</f>
        <v>4804281.4399999911</v>
      </c>
      <c r="AD163" s="176">
        <f>SUM(AD$98:AD112)</f>
        <v>4661068.5199999847</v>
      </c>
      <c r="AE163" s="176">
        <f>SUM(AE$98:AE112)</f>
        <v>5070741.000000014</v>
      </c>
      <c r="AF163" s="176">
        <f>SUM(AF$98:AF112)</f>
        <v>4885085.5199999968</v>
      </c>
      <c r="AG163" s="176">
        <f>SUM(AG$98:AG112)</f>
        <v>5628476.9799999958</v>
      </c>
      <c r="AH163" s="176">
        <f>SUM(AH$98:AH112)</f>
        <v>5132941.4099999983</v>
      </c>
      <c r="AI163" s="176">
        <f>SUM(AI$98:AI112)</f>
        <v>4612761.2399999928</v>
      </c>
      <c r="AJ163" s="176">
        <f>SUM(AJ$98:AJ112)</f>
        <v>3478675.1399999922</v>
      </c>
      <c r="AK163" s="176">
        <f>SUM(AK$98:AK112)</f>
        <v>1819598.1699999985</v>
      </c>
      <c r="AL163" s="176">
        <f>SUM(AL$98:AL112)</f>
        <v>571271.51999999979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3297201.0900000045</v>
      </c>
      <c r="D164" s="176">
        <f>SUM(D$98:D113)</f>
        <v>3245896.8900000006</v>
      </c>
      <c r="E164" s="176">
        <f>SUM(E$98:E113)</f>
        <v>3571137.4999999981</v>
      </c>
      <c r="F164" s="176">
        <f>SUM(F$98:F113)</f>
        <v>3631067.439999999</v>
      </c>
      <c r="G164" s="176">
        <f>SUM(G$98:G113)</f>
        <v>3857142.1099999943</v>
      </c>
      <c r="H164" s="176">
        <f>SUM(H$98:H113)</f>
        <v>3980965.5599999982</v>
      </c>
      <c r="I164" s="176">
        <f>SUM(I$98:I113)</f>
        <v>4118252.8999999976</v>
      </c>
      <c r="J164" s="176">
        <f>SUM(J$98:J113)</f>
        <v>3947051.3999999976</v>
      </c>
      <c r="K164" s="176">
        <f>SUM(K$98:K113)</f>
        <v>3876959.040000001</v>
      </c>
      <c r="L164" s="176">
        <f>SUM(L$98:L113)</f>
        <v>3532841.7200000039</v>
      </c>
      <c r="M164" s="176">
        <f>SUM(M$98:M113)</f>
        <v>3645621.3300000052</v>
      </c>
      <c r="N164" s="176">
        <f>SUM(N$98:N113)</f>
        <v>4294984.6400000025</v>
      </c>
      <c r="O164" s="176">
        <f>SUM(O$98:O113)</f>
        <v>3914804.5100000077</v>
      </c>
      <c r="P164" s="176">
        <f>SUM(P$98:P113)</f>
        <v>4014923.4300000072</v>
      </c>
      <c r="Q164" s="176">
        <f>SUM(Q$98:Q113)</f>
        <v>4138968.6300000092</v>
      </c>
      <c r="R164" s="176">
        <f>SUM(R$98:R113)</f>
        <v>3983792.6200000076</v>
      </c>
      <c r="S164" s="176">
        <f>SUM(S$98:S113)</f>
        <v>4567385.6000000155</v>
      </c>
      <c r="T164" s="176">
        <f>SUM(T$98:T113)</f>
        <v>4468278.0400000131</v>
      </c>
      <c r="U164" s="176">
        <f>SUM(U$98:U113)</f>
        <v>4651398.3700000066</v>
      </c>
      <c r="V164" s="176">
        <f>SUM(V$98:V113)</f>
        <v>4375067.0100000128</v>
      </c>
      <c r="W164" s="176">
        <f>SUM(W$98:W113)</f>
        <v>4392206.6300000092</v>
      </c>
      <c r="X164" s="176">
        <f>SUM(X$98:X113)</f>
        <v>4311182.3399999924</v>
      </c>
      <c r="Y164" s="176">
        <f>SUM(Y$98:Y113)</f>
        <v>4362488.2299999902</v>
      </c>
      <c r="Z164" s="176">
        <f>SUM(Z$98:Z113)</f>
        <v>4984576.0699999863</v>
      </c>
      <c r="AA164" s="176">
        <f>SUM(AA$98:AA113)</f>
        <v>4461740.7500000009</v>
      </c>
      <c r="AB164" s="176">
        <f>SUM(AB$98:AB113)</f>
        <v>4709219.6099999994</v>
      </c>
      <c r="AC164" s="176">
        <f>SUM(AC$98:AC113)</f>
        <v>4804281.4399999911</v>
      </c>
      <c r="AD164" s="176">
        <f>SUM(AD$98:AD113)</f>
        <v>4661068.5199999847</v>
      </c>
      <c r="AE164" s="176">
        <f>SUM(AE$98:AE113)</f>
        <v>5070741.000000014</v>
      </c>
      <c r="AF164" s="176">
        <f>SUM(AF$98:AF113)</f>
        <v>4885085.5199999968</v>
      </c>
      <c r="AG164" s="176">
        <f>SUM(AG$98:AG113)</f>
        <v>5628476.9799999958</v>
      </c>
      <c r="AH164" s="176">
        <f>SUM(AH$98:AH113)</f>
        <v>5132941.4099999983</v>
      </c>
      <c r="AI164" s="176">
        <f>SUM(AI$98:AI113)</f>
        <v>4612761.2399999928</v>
      </c>
      <c r="AJ164" s="176">
        <f>SUM(AJ$98:AJ113)</f>
        <v>3478675.1399999922</v>
      </c>
      <c r="AK164" s="176">
        <f>SUM(AK$98:AK113)</f>
        <v>1819598.1699999985</v>
      </c>
      <c r="AL164" s="176">
        <f>SUM(AL$98:AL113)</f>
        <v>571271.51999999979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3306016.3500000043</v>
      </c>
      <c r="D165" s="176">
        <f>SUM(D$98:D114)</f>
        <v>3260990.4200000004</v>
      </c>
      <c r="E165" s="176">
        <f>SUM(E$98:E114)</f>
        <v>3599710.2199999983</v>
      </c>
      <c r="F165" s="176">
        <f>SUM(F$98:F114)</f>
        <v>3631938.939999999</v>
      </c>
      <c r="G165" s="176">
        <f>SUM(G$98:G114)</f>
        <v>3858534.4799999944</v>
      </c>
      <c r="H165" s="176">
        <f>SUM(H$98:H114)</f>
        <v>3982193.7499999981</v>
      </c>
      <c r="I165" s="176">
        <f>SUM(I$98:I114)</f>
        <v>4131671.8299999977</v>
      </c>
      <c r="J165" s="176">
        <f>SUM(J$98:J114)</f>
        <v>3949737.1499999976</v>
      </c>
      <c r="K165" s="176">
        <f>SUM(K$98:K114)</f>
        <v>3877800.4700000011</v>
      </c>
      <c r="L165" s="176">
        <f>SUM(L$98:L114)</f>
        <v>3534511.090000004</v>
      </c>
      <c r="M165" s="176">
        <f>SUM(M$98:M114)</f>
        <v>3649612.8500000052</v>
      </c>
      <c r="N165" s="176">
        <f>SUM(N$98:N114)</f>
        <v>4304099.0700000022</v>
      </c>
      <c r="O165" s="176">
        <f>SUM(O$98:O114)</f>
        <v>3925175.9800000079</v>
      </c>
      <c r="P165" s="176">
        <f>SUM(P$98:P114)</f>
        <v>4023603.4300000072</v>
      </c>
      <c r="Q165" s="176">
        <f>SUM(Q$98:Q114)</f>
        <v>4139084.5200000093</v>
      </c>
      <c r="R165" s="176">
        <f>SUM(R$98:R114)</f>
        <v>3990664.9300000076</v>
      </c>
      <c r="S165" s="176">
        <f>SUM(S$98:S114)</f>
        <v>4571881.1700000158</v>
      </c>
      <c r="T165" s="176">
        <f>SUM(T$98:T114)</f>
        <v>4470030.7200000128</v>
      </c>
      <c r="U165" s="176">
        <f>SUM(U$98:U114)</f>
        <v>4653316.1700000064</v>
      </c>
      <c r="V165" s="176">
        <f>SUM(V$98:V114)</f>
        <v>4375399.0900000129</v>
      </c>
      <c r="W165" s="176">
        <f>SUM(W$98:W114)</f>
        <v>4392206.6300000092</v>
      </c>
      <c r="X165" s="176">
        <f>SUM(X$98:X114)</f>
        <v>4311182.3399999924</v>
      </c>
      <c r="Y165" s="176">
        <f>SUM(Y$98:Y114)</f>
        <v>4362488.2299999902</v>
      </c>
      <c r="Z165" s="176">
        <f>SUM(Z$98:Z114)</f>
        <v>4984576.0699999863</v>
      </c>
      <c r="AA165" s="176">
        <f>SUM(AA$98:AA114)</f>
        <v>4461740.7500000009</v>
      </c>
      <c r="AB165" s="176">
        <f>SUM(AB$98:AB114)</f>
        <v>4709219.6099999994</v>
      </c>
      <c r="AC165" s="176">
        <f>SUM(AC$98:AC114)</f>
        <v>4804281.4399999911</v>
      </c>
      <c r="AD165" s="176">
        <f>SUM(AD$98:AD114)</f>
        <v>4661068.5199999847</v>
      </c>
      <c r="AE165" s="176">
        <f>SUM(AE$98:AE114)</f>
        <v>5070741.000000014</v>
      </c>
      <c r="AF165" s="176">
        <f>SUM(AF$98:AF114)</f>
        <v>4885085.5199999968</v>
      </c>
      <c r="AG165" s="176">
        <f>SUM(AG$98:AG114)</f>
        <v>5628476.9799999958</v>
      </c>
      <c r="AH165" s="176">
        <f>SUM(AH$98:AH114)</f>
        <v>5132941.4099999983</v>
      </c>
      <c r="AI165" s="176">
        <f>SUM(AI$98:AI114)</f>
        <v>4612761.2399999928</v>
      </c>
      <c r="AJ165" s="176">
        <f>SUM(AJ$98:AJ114)</f>
        <v>3478675.1399999922</v>
      </c>
      <c r="AK165" s="176">
        <f>SUM(AK$98:AK114)</f>
        <v>1819598.1699999985</v>
      </c>
      <c r="AL165" s="176">
        <f>SUM(AL$98:AL114)</f>
        <v>571271.51999999979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3325047.0900000045</v>
      </c>
      <c r="D166" s="176">
        <f>SUM(D$98:D115)</f>
        <v>3297736.8100000005</v>
      </c>
      <c r="E166" s="176">
        <f>SUM(E$98:E115)</f>
        <v>3600567.0499999984</v>
      </c>
      <c r="F166" s="176">
        <f>SUM(F$98:F115)</f>
        <v>3631978.939999999</v>
      </c>
      <c r="G166" s="176">
        <f>SUM(G$98:G115)</f>
        <v>3884628.8299999945</v>
      </c>
      <c r="H166" s="176">
        <f>SUM(H$98:H115)</f>
        <v>4005030.6899999981</v>
      </c>
      <c r="I166" s="176">
        <f>SUM(I$98:I115)</f>
        <v>4134890.8899999978</v>
      </c>
      <c r="J166" s="176">
        <f>SUM(J$98:J115)</f>
        <v>3951436.1199999978</v>
      </c>
      <c r="K166" s="176">
        <f>SUM(K$98:K115)</f>
        <v>3878147.9300000011</v>
      </c>
      <c r="L166" s="176">
        <f>SUM(L$98:L115)</f>
        <v>3535491.2700000042</v>
      </c>
      <c r="M166" s="176">
        <f>SUM(M$98:M115)</f>
        <v>3663064.8500000052</v>
      </c>
      <c r="N166" s="176">
        <f>SUM(N$98:N115)</f>
        <v>4305068.0900000017</v>
      </c>
      <c r="O166" s="176">
        <f>SUM(O$98:O115)</f>
        <v>3935308.7400000077</v>
      </c>
      <c r="P166" s="176">
        <f>SUM(P$98:P115)</f>
        <v>4023704.4300000072</v>
      </c>
      <c r="Q166" s="176">
        <f>SUM(Q$98:Q115)</f>
        <v>4142070.1500000092</v>
      </c>
      <c r="R166" s="176">
        <f>SUM(R$98:R115)</f>
        <v>4001800.5300000077</v>
      </c>
      <c r="S166" s="176">
        <f>SUM(S$98:S115)</f>
        <v>4574213.3800000157</v>
      </c>
      <c r="T166" s="176">
        <f>SUM(T$98:T115)</f>
        <v>4470892.8200000124</v>
      </c>
      <c r="U166" s="176">
        <f>SUM(U$98:U115)</f>
        <v>4654030.8600000069</v>
      </c>
      <c r="V166" s="176">
        <f>SUM(V$98:V115)</f>
        <v>4375399.0900000129</v>
      </c>
      <c r="W166" s="176">
        <f>SUM(W$98:W115)</f>
        <v>4392206.6300000092</v>
      </c>
      <c r="X166" s="176">
        <f>SUM(X$98:X115)</f>
        <v>4311182.3399999924</v>
      </c>
      <c r="Y166" s="176">
        <f>SUM(Y$98:Y115)</f>
        <v>4362488.2299999902</v>
      </c>
      <c r="Z166" s="176">
        <f>SUM(Z$98:Z115)</f>
        <v>4984576.0699999863</v>
      </c>
      <c r="AA166" s="176">
        <f>SUM(AA$98:AA115)</f>
        <v>4461740.7500000009</v>
      </c>
      <c r="AB166" s="176">
        <f>SUM(AB$98:AB115)</f>
        <v>4709219.6099999994</v>
      </c>
      <c r="AC166" s="176">
        <f>SUM(AC$98:AC115)</f>
        <v>4804281.4399999911</v>
      </c>
      <c r="AD166" s="176">
        <f>SUM(AD$98:AD115)</f>
        <v>4661068.5199999847</v>
      </c>
      <c r="AE166" s="176">
        <f>SUM(AE$98:AE115)</f>
        <v>5070741.000000014</v>
      </c>
      <c r="AF166" s="176">
        <f>SUM(AF$98:AF115)</f>
        <v>4885085.5199999968</v>
      </c>
      <c r="AG166" s="176">
        <f>SUM(AG$98:AG115)</f>
        <v>5628476.9799999958</v>
      </c>
      <c r="AH166" s="176">
        <f>SUM(AH$98:AH115)</f>
        <v>5132941.4099999983</v>
      </c>
      <c r="AI166" s="176">
        <f>SUM(AI$98:AI115)</f>
        <v>4612761.2399999928</v>
      </c>
      <c r="AJ166" s="176">
        <f>SUM(AJ$98:AJ115)</f>
        <v>3478675.1399999922</v>
      </c>
      <c r="AK166" s="176">
        <f>SUM(AK$98:AK115)</f>
        <v>1819598.1699999985</v>
      </c>
      <c r="AL166" s="176">
        <f>SUM(AL$98:AL115)</f>
        <v>571271.51999999979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3365770.1100000045</v>
      </c>
      <c r="D167" s="176">
        <f>SUM(D$98:D116)</f>
        <v>3298909.0600000005</v>
      </c>
      <c r="E167" s="176">
        <f>SUM(E$98:E116)</f>
        <v>3601522.3799999985</v>
      </c>
      <c r="F167" s="176">
        <f>SUM(F$98:F116)</f>
        <v>3641190.459999999</v>
      </c>
      <c r="G167" s="176">
        <f>SUM(G$98:G116)</f>
        <v>3884900.4599999944</v>
      </c>
      <c r="H167" s="176">
        <f>SUM(H$98:H116)</f>
        <v>4006450.5099999979</v>
      </c>
      <c r="I167" s="176">
        <f>SUM(I$98:I116)</f>
        <v>4136832.6199999978</v>
      </c>
      <c r="J167" s="176">
        <f>SUM(J$98:J116)</f>
        <v>3955003.2899999977</v>
      </c>
      <c r="K167" s="176">
        <f>SUM(K$98:K116)</f>
        <v>3879033.9300000011</v>
      </c>
      <c r="L167" s="176">
        <f>SUM(L$98:L116)</f>
        <v>3536063.8900000043</v>
      </c>
      <c r="M167" s="176">
        <f>SUM(M$98:M116)</f>
        <v>3674021.6800000053</v>
      </c>
      <c r="N167" s="176">
        <f>SUM(N$98:N116)</f>
        <v>4312192.3000000017</v>
      </c>
      <c r="O167" s="176">
        <f>SUM(O$98:O116)</f>
        <v>3935499.7100000079</v>
      </c>
      <c r="P167" s="176">
        <f>SUM(P$98:P116)</f>
        <v>4025969.980000007</v>
      </c>
      <c r="Q167" s="176">
        <f>SUM(Q$98:Q116)</f>
        <v>4142238.4200000092</v>
      </c>
      <c r="R167" s="176">
        <f>SUM(R$98:R116)</f>
        <v>4021704.7400000077</v>
      </c>
      <c r="S167" s="176">
        <f>SUM(S$98:S116)</f>
        <v>4575873.660000016</v>
      </c>
      <c r="T167" s="176">
        <f>SUM(T$98:T116)</f>
        <v>4471030.9000000125</v>
      </c>
      <c r="U167" s="176">
        <f>SUM(U$98:U116)</f>
        <v>4654030.8600000069</v>
      </c>
      <c r="V167" s="176">
        <f>SUM(V$98:V116)</f>
        <v>4375399.0900000129</v>
      </c>
      <c r="W167" s="176">
        <f>SUM(W$98:W116)</f>
        <v>4392206.6300000092</v>
      </c>
      <c r="X167" s="176">
        <f>SUM(X$98:X116)</f>
        <v>4311182.3399999924</v>
      </c>
      <c r="Y167" s="176">
        <f>SUM(Y$98:Y116)</f>
        <v>4362488.2299999902</v>
      </c>
      <c r="Z167" s="176">
        <f>SUM(Z$98:Z116)</f>
        <v>4984576.0699999863</v>
      </c>
      <c r="AA167" s="176">
        <f>SUM(AA$98:AA116)</f>
        <v>4461740.7500000009</v>
      </c>
      <c r="AB167" s="176">
        <f>SUM(AB$98:AB116)</f>
        <v>4709219.6099999994</v>
      </c>
      <c r="AC167" s="176">
        <f>SUM(AC$98:AC116)</f>
        <v>4804281.4399999911</v>
      </c>
      <c r="AD167" s="176">
        <f>SUM(AD$98:AD116)</f>
        <v>4661068.5199999847</v>
      </c>
      <c r="AE167" s="176">
        <f>SUM(AE$98:AE116)</f>
        <v>5070741.000000014</v>
      </c>
      <c r="AF167" s="176">
        <f>SUM(AF$98:AF116)</f>
        <v>4885085.5199999968</v>
      </c>
      <c r="AG167" s="176">
        <f>SUM(AG$98:AG116)</f>
        <v>5628476.9799999958</v>
      </c>
      <c r="AH167" s="176">
        <f>SUM(AH$98:AH116)</f>
        <v>5132941.4099999983</v>
      </c>
      <c r="AI167" s="176">
        <f>SUM(AI$98:AI116)</f>
        <v>4612761.2399999928</v>
      </c>
      <c r="AJ167" s="176">
        <f>SUM(AJ$98:AJ116)</f>
        <v>3478675.1399999922</v>
      </c>
      <c r="AK167" s="176">
        <f>SUM(AK$98:AK116)</f>
        <v>1819598.1699999985</v>
      </c>
      <c r="AL167" s="176">
        <f>SUM(AL$98:AL116)</f>
        <v>571271.51999999979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3366370.1100000045</v>
      </c>
      <c r="D168" s="176">
        <f>SUM(D$98:D117)</f>
        <v>3304253.6600000006</v>
      </c>
      <c r="E168" s="176">
        <f>SUM(E$98:E117)</f>
        <v>3601522.3799999985</v>
      </c>
      <c r="F168" s="176">
        <f>SUM(F$98:F117)</f>
        <v>3657304.6099999989</v>
      </c>
      <c r="G168" s="176">
        <f>SUM(G$98:G117)</f>
        <v>3887161.4899999942</v>
      </c>
      <c r="H168" s="176">
        <f>SUM(H$98:H117)</f>
        <v>4008812.5399999977</v>
      </c>
      <c r="I168" s="176">
        <f>SUM(I$98:I117)</f>
        <v>4136832.6199999978</v>
      </c>
      <c r="J168" s="176">
        <f>SUM(J$98:J117)</f>
        <v>3955360.4099999978</v>
      </c>
      <c r="K168" s="176">
        <f>SUM(K$98:K117)</f>
        <v>3879109.9600000009</v>
      </c>
      <c r="L168" s="176">
        <f>SUM(L$98:L117)</f>
        <v>3539683.2900000042</v>
      </c>
      <c r="M168" s="176">
        <f>SUM(M$98:M117)</f>
        <v>3679951.8400000054</v>
      </c>
      <c r="N168" s="176">
        <f>SUM(N$98:N117)</f>
        <v>4313063.4800000014</v>
      </c>
      <c r="O168" s="176">
        <f>SUM(O$98:O117)</f>
        <v>3940523.1700000078</v>
      </c>
      <c r="P168" s="176">
        <f>SUM(P$98:P117)</f>
        <v>4031467.1100000069</v>
      </c>
      <c r="Q168" s="176">
        <f>SUM(Q$98:Q117)</f>
        <v>4143732.5400000094</v>
      </c>
      <c r="R168" s="176">
        <f>SUM(R$98:R117)</f>
        <v>4022961.7500000075</v>
      </c>
      <c r="S168" s="176">
        <f>SUM(S$98:S117)</f>
        <v>4576387.1400000164</v>
      </c>
      <c r="T168" s="176">
        <f>SUM(T$98:T117)</f>
        <v>4471030.9000000125</v>
      </c>
      <c r="U168" s="176">
        <f>SUM(U$98:U117)</f>
        <v>4654030.8600000069</v>
      </c>
      <c r="V168" s="176">
        <f>SUM(V$98:V117)</f>
        <v>4375399.0900000129</v>
      </c>
      <c r="W168" s="176">
        <f>SUM(W$98:W117)</f>
        <v>4392206.6300000092</v>
      </c>
      <c r="X168" s="176">
        <f>SUM(X$98:X117)</f>
        <v>4311182.3399999924</v>
      </c>
      <c r="Y168" s="176">
        <f>SUM(Y$98:Y117)</f>
        <v>4362488.2299999902</v>
      </c>
      <c r="Z168" s="176">
        <f>SUM(Z$98:Z117)</f>
        <v>4984576.0699999863</v>
      </c>
      <c r="AA168" s="176">
        <f>SUM(AA$98:AA117)</f>
        <v>4461740.7500000009</v>
      </c>
      <c r="AB168" s="176">
        <f>SUM(AB$98:AB117)</f>
        <v>4709219.6099999994</v>
      </c>
      <c r="AC168" s="176">
        <f>SUM(AC$98:AC117)</f>
        <v>4804281.4399999911</v>
      </c>
      <c r="AD168" s="176">
        <f>SUM(AD$98:AD117)</f>
        <v>4661068.5199999847</v>
      </c>
      <c r="AE168" s="176">
        <f>SUM(AE$98:AE117)</f>
        <v>5070741.000000014</v>
      </c>
      <c r="AF168" s="176">
        <f>SUM(AF$98:AF117)</f>
        <v>4885085.5199999968</v>
      </c>
      <c r="AG168" s="176">
        <f>SUM(AG$98:AG117)</f>
        <v>5628476.9799999958</v>
      </c>
      <c r="AH168" s="176">
        <f>SUM(AH$98:AH117)</f>
        <v>5132941.4099999983</v>
      </c>
      <c r="AI168" s="176">
        <f>SUM(AI$98:AI117)</f>
        <v>4612761.2399999928</v>
      </c>
      <c r="AJ168" s="176">
        <f>SUM(AJ$98:AJ117)</f>
        <v>3478675.1399999922</v>
      </c>
      <c r="AK168" s="176">
        <f>SUM(AK$98:AK117)</f>
        <v>1819598.1699999985</v>
      </c>
      <c r="AL168" s="176">
        <f>SUM(AL$98:AL117)</f>
        <v>571271.51999999979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3367832.0000000047</v>
      </c>
      <c r="D169" s="176">
        <f>SUM(D$98:D118)</f>
        <v>3316217.7900000005</v>
      </c>
      <c r="E169" s="176">
        <f>SUM(E$98:E118)</f>
        <v>3609026.5799999987</v>
      </c>
      <c r="F169" s="176">
        <f>SUM(F$98:F118)</f>
        <v>3659536.7599999988</v>
      </c>
      <c r="G169" s="176">
        <f>SUM(G$98:G118)</f>
        <v>3888063.3699999941</v>
      </c>
      <c r="H169" s="176">
        <f>SUM(H$98:H118)</f>
        <v>4008812.5399999977</v>
      </c>
      <c r="I169" s="176">
        <f>SUM(I$98:I118)</f>
        <v>4137032.6199999978</v>
      </c>
      <c r="J169" s="176">
        <f>SUM(J$98:J118)</f>
        <v>3955360.4099999978</v>
      </c>
      <c r="K169" s="176">
        <f>SUM(K$98:K118)</f>
        <v>3879109.9600000009</v>
      </c>
      <c r="L169" s="176">
        <f>SUM(L$98:L118)</f>
        <v>3545360.6300000041</v>
      </c>
      <c r="M169" s="176">
        <f>SUM(M$98:M118)</f>
        <v>3681032.4300000053</v>
      </c>
      <c r="N169" s="176">
        <f>SUM(N$98:N118)</f>
        <v>4315225.2200000016</v>
      </c>
      <c r="O169" s="176">
        <f>SUM(O$98:O118)</f>
        <v>3948165.0700000077</v>
      </c>
      <c r="P169" s="176">
        <f>SUM(P$98:P118)</f>
        <v>4032961.3300000071</v>
      </c>
      <c r="Q169" s="176">
        <f>SUM(Q$98:Q118)</f>
        <v>4144230.9000000092</v>
      </c>
      <c r="R169" s="176">
        <f>SUM(R$98:R118)</f>
        <v>4023769.4900000077</v>
      </c>
      <c r="S169" s="176">
        <f>SUM(S$98:S118)</f>
        <v>4576387.1400000164</v>
      </c>
      <c r="T169" s="176">
        <f>SUM(T$98:T118)</f>
        <v>4471030.9000000125</v>
      </c>
      <c r="U169" s="176">
        <f>SUM(U$98:U118)</f>
        <v>4654030.8600000069</v>
      </c>
      <c r="V169" s="176">
        <f>SUM(V$98:V118)</f>
        <v>4375399.0900000129</v>
      </c>
      <c r="W169" s="176">
        <f>SUM(W$98:W118)</f>
        <v>4392206.6300000092</v>
      </c>
      <c r="X169" s="176">
        <f>SUM(X$98:X118)</f>
        <v>4311182.3399999924</v>
      </c>
      <c r="Y169" s="176">
        <f>SUM(Y$98:Y118)</f>
        <v>4362488.2299999902</v>
      </c>
      <c r="Z169" s="176">
        <f>SUM(Z$98:Z118)</f>
        <v>4984576.0699999863</v>
      </c>
      <c r="AA169" s="176">
        <f>SUM(AA$98:AA118)</f>
        <v>4461740.7500000009</v>
      </c>
      <c r="AB169" s="176">
        <f>SUM(AB$98:AB118)</f>
        <v>4709219.6099999994</v>
      </c>
      <c r="AC169" s="176">
        <f>SUM(AC$98:AC118)</f>
        <v>4804281.4399999911</v>
      </c>
      <c r="AD169" s="176">
        <f>SUM(AD$98:AD118)</f>
        <v>4661068.5199999847</v>
      </c>
      <c r="AE169" s="176">
        <f>SUM(AE$98:AE118)</f>
        <v>5070741.000000014</v>
      </c>
      <c r="AF169" s="176">
        <f>SUM(AF$98:AF118)</f>
        <v>4885085.5199999968</v>
      </c>
      <c r="AG169" s="176">
        <f>SUM(AG$98:AG118)</f>
        <v>5628476.9799999958</v>
      </c>
      <c r="AH169" s="176">
        <f>SUM(AH$98:AH118)</f>
        <v>5132941.4099999983</v>
      </c>
      <c r="AI169" s="176">
        <f>SUM(AI$98:AI118)</f>
        <v>4612761.2399999928</v>
      </c>
      <c r="AJ169" s="176">
        <f>SUM(AJ$98:AJ118)</f>
        <v>3478675.1399999922</v>
      </c>
      <c r="AK169" s="176">
        <f>SUM(AK$98:AK118)</f>
        <v>1819598.1699999985</v>
      </c>
      <c r="AL169" s="176">
        <f>SUM(AL$98:AL118)</f>
        <v>571271.51999999979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3371210.0000000047</v>
      </c>
      <c r="D170" s="176">
        <f>SUM(D$98:D119)</f>
        <v>3334069.2800000007</v>
      </c>
      <c r="E170" s="176">
        <f>SUM(E$98:E119)</f>
        <v>3610162.5499999989</v>
      </c>
      <c r="F170" s="176">
        <f>SUM(F$98:F119)</f>
        <v>3667009.5899999989</v>
      </c>
      <c r="G170" s="176">
        <f>SUM(G$98:G119)</f>
        <v>3888099.5099999942</v>
      </c>
      <c r="H170" s="176">
        <f>SUM(H$98:H119)</f>
        <v>4009045.6099999975</v>
      </c>
      <c r="I170" s="176">
        <f>SUM(I$98:I119)</f>
        <v>4141829.319999998</v>
      </c>
      <c r="J170" s="176">
        <f>SUM(J$98:J119)</f>
        <v>3955360.4099999978</v>
      </c>
      <c r="K170" s="176">
        <f>SUM(K$98:K119)</f>
        <v>3881876.6600000011</v>
      </c>
      <c r="L170" s="176">
        <f>SUM(L$98:L119)</f>
        <v>3545671.800000004</v>
      </c>
      <c r="M170" s="176">
        <f>SUM(M$98:M119)</f>
        <v>3682112.4400000051</v>
      </c>
      <c r="N170" s="176">
        <f>SUM(N$98:N119)</f>
        <v>4323047.0400000019</v>
      </c>
      <c r="O170" s="176">
        <f>SUM(O$98:O119)</f>
        <v>3948744.8400000078</v>
      </c>
      <c r="P170" s="176">
        <f>SUM(P$98:P119)</f>
        <v>4033103.6400000071</v>
      </c>
      <c r="Q170" s="176">
        <f>SUM(Q$98:Q119)</f>
        <v>4145111.1000000094</v>
      </c>
      <c r="R170" s="176">
        <f>SUM(R$98:R119)</f>
        <v>4023769.4900000077</v>
      </c>
      <c r="S170" s="176">
        <f>SUM(S$98:S119)</f>
        <v>4576387.1400000164</v>
      </c>
      <c r="T170" s="176">
        <f>SUM(T$98:T119)</f>
        <v>4471030.9000000125</v>
      </c>
      <c r="U170" s="176">
        <f>SUM(U$98:U119)</f>
        <v>4654030.8600000069</v>
      </c>
      <c r="V170" s="176">
        <f>SUM(V$98:V119)</f>
        <v>4375399.0900000129</v>
      </c>
      <c r="W170" s="176">
        <f>SUM(W$98:W119)</f>
        <v>4392206.6300000092</v>
      </c>
      <c r="X170" s="176">
        <f>SUM(X$98:X119)</f>
        <v>4311182.3399999924</v>
      </c>
      <c r="Y170" s="176">
        <f>SUM(Y$98:Y119)</f>
        <v>4362488.2299999902</v>
      </c>
      <c r="Z170" s="176">
        <f>SUM(Z$98:Z119)</f>
        <v>4984576.0699999863</v>
      </c>
      <c r="AA170" s="176">
        <f>SUM(AA$98:AA119)</f>
        <v>4461740.7500000009</v>
      </c>
      <c r="AB170" s="176">
        <f>SUM(AB$98:AB119)</f>
        <v>4709219.6099999994</v>
      </c>
      <c r="AC170" s="176">
        <f>SUM(AC$98:AC119)</f>
        <v>4804281.4399999911</v>
      </c>
      <c r="AD170" s="176">
        <f>SUM(AD$98:AD119)</f>
        <v>4661068.5199999847</v>
      </c>
      <c r="AE170" s="176">
        <f>SUM(AE$98:AE119)</f>
        <v>5070741.000000014</v>
      </c>
      <c r="AF170" s="176">
        <f>SUM(AF$98:AF119)</f>
        <v>4885085.5199999968</v>
      </c>
      <c r="AG170" s="176">
        <f>SUM(AG$98:AG119)</f>
        <v>5628476.9799999958</v>
      </c>
      <c r="AH170" s="176">
        <f>SUM(AH$98:AH119)</f>
        <v>5132941.4099999983</v>
      </c>
      <c r="AI170" s="176">
        <f>SUM(AI$98:AI119)</f>
        <v>4612761.2399999928</v>
      </c>
      <c r="AJ170" s="176">
        <f>SUM(AJ$98:AJ119)</f>
        <v>3478675.1399999922</v>
      </c>
      <c r="AK170" s="176">
        <f>SUM(AK$98:AK119)</f>
        <v>1819598.1699999985</v>
      </c>
      <c r="AL170" s="176">
        <f>SUM(AL$98:AL119)</f>
        <v>571271.51999999979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3372816.2000000048</v>
      </c>
      <c r="D171" s="176">
        <f>SUM(D$98:D120)</f>
        <v>3334195.0600000005</v>
      </c>
      <c r="E171" s="176">
        <f>SUM(E$98:E120)</f>
        <v>3617212.7899999991</v>
      </c>
      <c r="F171" s="176">
        <f>SUM(F$98:F120)</f>
        <v>3667009.5899999989</v>
      </c>
      <c r="G171" s="176">
        <f>SUM(G$98:G120)</f>
        <v>3888399.5099999942</v>
      </c>
      <c r="H171" s="176">
        <f>SUM(H$98:H120)</f>
        <v>4009249.6099999975</v>
      </c>
      <c r="I171" s="176">
        <f>SUM(I$98:I120)</f>
        <v>4142122.9199999981</v>
      </c>
      <c r="J171" s="176">
        <f>SUM(J$98:J120)</f>
        <v>3956067.8099999977</v>
      </c>
      <c r="K171" s="176">
        <f>SUM(K$98:K120)</f>
        <v>3881876.6600000011</v>
      </c>
      <c r="L171" s="176">
        <f>SUM(L$98:L120)</f>
        <v>3547667.6000000038</v>
      </c>
      <c r="M171" s="176">
        <f>SUM(M$98:M120)</f>
        <v>3682212.4400000051</v>
      </c>
      <c r="N171" s="176">
        <f>SUM(N$98:N120)</f>
        <v>4327959.0700000022</v>
      </c>
      <c r="O171" s="176">
        <f>SUM(O$98:O120)</f>
        <v>3950222.1900000079</v>
      </c>
      <c r="P171" s="176">
        <f>SUM(P$98:P120)</f>
        <v>4033103.6400000071</v>
      </c>
      <c r="Q171" s="176">
        <f>SUM(Q$98:Q120)</f>
        <v>4145111.1000000094</v>
      </c>
      <c r="R171" s="176">
        <f>SUM(R$98:R120)</f>
        <v>4023769.4900000077</v>
      </c>
      <c r="S171" s="176">
        <f>SUM(S$98:S120)</f>
        <v>4576387.1400000164</v>
      </c>
      <c r="T171" s="176">
        <f>SUM(T$98:T120)</f>
        <v>4471030.9000000125</v>
      </c>
      <c r="U171" s="176">
        <f>SUM(U$98:U120)</f>
        <v>4654030.8600000069</v>
      </c>
      <c r="V171" s="176">
        <f>SUM(V$98:V120)</f>
        <v>4375399.0900000129</v>
      </c>
      <c r="W171" s="176">
        <f>SUM(W$98:W120)</f>
        <v>4392206.6300000092</v>
      </c>
      <c r="X171" s="176">
        <f>SUM(X$98:X120)</f>
        <v>4311182.3399999924</v>
      </c>
      <c r="Y171" s="176">
        <f>SUM(Y$98:Y120)</f>
        <v>4362488.2299999902</v>
      </c>
      <c r="Z171" s="176">
        <f>SUM(Z$98:Z120)</f>
        <v>4984576.0699999863</v>
      </c>
      <c r="AA171" s="176">
        <f>SUM(AA$98:AA120)</f>
        <v>4461740.7500000009</v>
      </c>
      <c r="AB171" s="176">
        <f>SUM(AB$98:AB120)</f>
        <v>4709219.6099999994</v>
      </c>
      <c r="AC171" s="176">
        <f>SUM(AC$98:AC120)</f>
        <v>4804281.4399999911</v>
      </c>
      <c r="AD171" s="176">
        <f>SUM(AD$98:AD120)</f>
        <v>4661068.5199999847</v>
      </c>
      <c r="AE171" s="176">
        <f>SUM(AE$98:AE120)</f>
        <v>5070741.000000014</v>
      </c>
      <c r="AF171" s="176">
        <f>SUM(AF$98:AF120)</f>
        <v>4885085.5199999968</v>
      </c>
      <c r="AG171" s="176">
        <f>SUM(AG$98:AG120)</f>
        <v>5628476.9799999958</v>
      </c>
      <c r="AH171" s="176">
        <f>SUM(AH$98:AH120)</f>
        <v>5132941.4099999983</v>
      </c>
      <c r="AI171" s="176">
        <f>SUM(AI$98:AI120)</f>
        <v>4612761.2399999928</v>
      </c>
      <c r="AJ171" s="176">
        <f>SUM(AJ$98:AJ120)</f>
        <v>3478675.1399999922</v>
      </c>
      <c r="AK171" s="176">
        <f>SUM(AK$98:AK120)</f>
        <v>1819598.1699999985</v>
      </c>
      <c r="AL171" s="176">
        <f>SUM(AL$98:AL120)</f>
        <v>571271.51999999979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3373016.2000000048</v>
      </c>
      <c r="D172" s="176">
        <f>SUM(D$98:D121)</f>
        <v>3341826.5300000007</v>
      </c>
      <c r="E172" s="176">
        <f>SUM(E$98:E121)</f>
        <v>3623125.3299999991</v>
      </c>
      <c r="F172" s="176">
        <f>SUM(F$98:F121)</f>
        <v>3667309.5899999989</v>
      </c>
      <c r="G172" s="176">
        <f>SUM(G$98:G121)</f>
        <v>3893246.1799999941</v>
      </c>
      <c r="H172" s="176">
        <f>SUM(H$98:H121)</f>
        <v>4009302.6699999976</v>
      </c>
      <c r="I172" s="176">
        <f>SUM(I$98:I121)</f>
        <v>4142326.4599999981</v>
      </c>
      <c r="J172" s="176">
        <f>SUM(J$98:J121)</f>
        <v>3956067.8099999977</v>
      </c>
      <c r="K172" s="176">
        <f>SUM(K$98:K121)</f>
        <v>3884164.620000001</v>
      </c>
      <c r="L172" s="176">
        <f>SUM(L$98:L121)</f>
        <v>3548102.070000004</v>
      </c>
      <c r="M172" s="176">
        <f>SUM(M$98:M121)</f>
        <v>3687888.880000005</v>
      </c>
      <c r="N172" s="176">
        <f>SUM(N$98:N121)</f>
        <v>4328926.950000002</v>
      </c>
      <c r="O172" s="176">
        <f>SUM(O$98:O121)</f>
        <v>3950978.1900000079</v>
      </c>
      <c r="P172" s="176">
        <f>SUM(P$98:P121)</f>
        <v>4033103.6400000071</v>
      </c>
      <c r="Q172" s="176">
        <f>SUM(Q$98:Q121)</f>
        <v>4145111.1000000094</v>
      </c>
      <c r="R172" s="176">
        <f>SUM(R$98:R121)</f>
        <v>4023769.4900000077</v>
      </c>
      <c r="S172" s="176">
        <f>SUM(S$98:S121)</f>
        <v>4576387.1400000164</v>
      </c>
      <c r="T172" s="176">
        <f>SUM(T$98:T121)</f>
        <v>4471030.9000000125</v>
      </c>
      <c r="U172" s="176">
        <f>SUM(U$98:U121)</f>
        <v>4654030.8600000069</v>
      </c>
      <c r="V172" s="176">
        <f>SUM(V$98:V121)</f>
        <v>4375399.0900000129</v>
      </c>
      <c r="W172" s="176">
        <f>SUM(W$98:W121)</f>
        <v>4392206.6300000092</v>
      </c>
      <c r="X172" s="176">
        <f>SUM(X$98:X121)</f>
        <v>4311182.3399999924</v>
      </c>
      <c r="Y172" s="176">
        <f>SUM(Y$98:Y121)</f>
        <v>4362488.2299999902</v>
      </c>
      <c r="Z172" s="176">
        <f>SUM(Z$98:Z121)</f>
        <v>4984576.0699999863</v>
      </c>
      <c r="AA172" s="176">
        <f>SUM(AA$98:AA121)</f>
        <v>4461740.7500000009</v>
      </c>
      <c r="AB172" s="176">
        <f>SUM(AB$98:AB121)</f>
        <v>4709219.6099999994</v>
      </c>
      <c r="AC172" s="176">
        <f>SUM(AC$98:AC121)</f>
        <v>4804281.4399999911</v>
      </c>
      <c r="AD172" s="176">
        <f>SUM(AD$98:AD121)</f>
        <v>4661068.5199999847</v>
      </c>
      <c r="AE172" s="176">
        <f>SUM(AE$98:AE121)</f>
        <v>5070741.000000014</v>
      </c>
      <c r="AF172" s="176">
        <f>SUM(AF$98:AF121)</f>
        <v>4885085.5199999968</v>
      </c>
      <c r="AG172" s="176">
        <f>SUM(AG$98:AG121)</f>
        <v>5628476.9799999958</v>
      </c>
      <c r="AH172" s="176">
        <f>SUM(AH$98:AH121)</f>
        <v>5132941.4099999983</v>
      </c>
      <c r="AI172" s="176">
        <f>SUM(AI$98:AI121)</f>
        <v>4612761.2399999928</v>
      </c>
      <c r="AJ172" s="176">
        <f>SUM(AJ$98:AJ121)</f>
        <v>3478675.1399999922</v>
      </c>
      <c r="AK172" s="176">
        <f>SUM(AK$98:AK121)</f>
        <v>1819598.1699999985</v>
      </c>
      <c r="AL172" s="176">
        <f>SUM(AL$98:AL121)</f>
        <v>571271.51999999979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3373299.420000005</v>
      </c>
      <c r="D173" s="176">
        <f>SUM(D$98:D122)</f>
        <v>3347676.5300000007</v>
      </c>
      <c r="E173" s="176">
        <f>SUM(E$98:E122)</f>
        <v>3623125.3299999991</v>
      </c>
      <c r="F173" s="176">
        <f>SUM(F$98:F122)</f>
        <v>3667357.5899999989</v>
      </c>
      <c r="G173" s="176">
        <f>SUM(G$98:G122)</f>
        <v>3893280.039999994</v>
      </c>
      <c r="H173" s="176">
        <f>SUM(H$98:H122)</f>
        <v>4009474.2299999977</v>
      </c>
      <c r="I173" s="176">
        <f>SUM(I$98:I122)</f>
        <v>4144324.569999998</v>
      </c>
      <c r="J173" s="176">
        <f>SUM(J$98:J122)</f>
        <v>3960614.3699999978</v>
      </c>
      <c r="K173" s="176">
        <f>SUM(K$98:K122)</f>
        <v>3884790.2000000011</v>
      </c>
      <c r="L173" s="176">
        <f>SUM(L$98:L122)</f>
        <v>3572297.9800000042</v>
      </c>
      <c r="M173" s="176">
        <f>SUM(M$98:M122)</f>
        <v>3692141.0800000052</v>
      </c>
      <c r="N173" s="176">
        <f>SUM(N$98:N122)</f>
        <v>4328926.950000002</v>
      </c>
      <c r="O173" s="176">
        <f>SUM(O$98:O122)</f>
        <v>3950978.1900000079</v>
      </c>
      <c r="P173" s="176">
        <f>SUM(P$98:P122)</f>
        <v>4033103.6400000071</v>
      </c>
      <c r="Q173" s="176">
        <f>SUM(Q$98:Q122)</f>
        <v>4145111.1000000094</v>
      </c>
      <c r="R173" s="176">
        <f>SUM(R$98:R122)</f>
        <v>4023769.4900000077</v>
      </c>
      <c r="S173" s="176">
        <f>SUM(S$98:S122)</f>
        <v>4576387.1400000164</v>
      </c>
      <c r="T173" s="176">
        <f>SUM(T$98:T122)</f>
        <v>4471030.9000000125</v>
      </c>
      <c r="U173" s="176">
        <f>SUM(U$98:U122)</f>
        <v>4654030.8600000069</v>
      </c>
      <c r="V173" s="176">
        <f>SUM(V$98:V122)</f>
        <v>4375399.0900000129</v>
      </c>
      <c r="W173" s="176">
        <f>SUM(W$98:W122)</f>
        <v>4392206.6300000092</v>
      </c>
      <c r="X173" s="176">
        <f>SUM(X$98:X122)</f>
        <v>4311182.3399999924</v>
      </c>
      <c r="Y173" s="176">
        <f>SUM(Y$98:Y122)</f>
        <v>4362488.2299999902</v>
      </c>
      <c r="Z173" s="176">
        <f>SUM(Z$98:Z122)</f>
        <v>4984576.0699999863</v>
      </c>
      <c r="AA173" s="176">
        <f>SUM(AA$98:AA122)</f>
        <v>4461740.7500000009</v>
      </c>
      <c r="AB173" s="176">
        <f>SUM(AB$98:AB122)</f>
        <v>4709219.6099999994</v>
      </c>
      <c r="AC173" s="176">
        <f>SUM(AC$98:AC122)</f>
        <v>4804281.4399999911</v>
      </c>
      <c r="AD173" s="176">
        <f>SUM(AD$98:AD122)</f>
        <v>4661068.5199999847</v>
      </c>
      <c r="AE173" s="176">
        <f>SUM(AE$98:AE122)</f>
        <v>5070741.000000014</v>
      </c>
      <c r="AF173" s="176">
        <f>SUM(AF$98:AF122)</f>
        <v>4885085.5199999968</v>
      </c>
      <c r="AG173" s="176">
        <f>SUM(AG$98:AG122)</f>
        <v>5628476.9799999958</v>
      </c>
      <c r="AH173" s="176">
        <f>SUM(AH$98:AH122)</f>
        <v>5132941.4099999983</v>
      </c>
      <c r="AI173" s="176">
        <f>SUM(AI$98:AI122)</f>
        <v>4612761.2399999928</v>
      </c>
      <c r="AJ173" s="176">
        <f>SUM(AJ$98:AJ122)</f>
        <v>3478675.1399999922</v>
      </c>
      <c r="AK173" s="176">
        <f>SUM(AK$98:AK122)</f>
        <v>1819598.1699999985</v>
      </c>
      <c r="AL173" s="176">
        <f>SUM(AL$98:AL122)</f>
        <v>571271.51999999979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3379149.420000005</v>
      </c>
      <c r="D174" s="176">
        <f>SUM(D$98:D123)</f>
        <v>3348222.7800000007</v>
      </c>
      <c r="E174" s="176">
        <f>SUM(E$98:E123)</f>
        <v>3628148.6099999989</v>
      </c>
      <c r="F174" s="176">
        <f>SUM(F$98:F123)</f>
        <v>3667357.5899999989</v>
      </c>
      <c r="G174" s="176">
        <f>SUM(G$98:G123)</f>
        <v>3893419.4999999939</v>
      </c>
      <c r="H174" s="176">
        <f>SUM(H$98:H123)</f>
        <v>4010163.6799999978</v>
      </c>
      <c r="I174" s="176">
        <f>SUM(I$98:I123)</f>
        <v>4144520.569999998</v>
      </c>
      <c r="J174" s="176">
        <f>SUM(J$98:J123)</f>
        <v>3961430.0399999977</v>
      </c>
      <c r="K174" s="176">
        <f>SUM(K$98:K123)</f>
        <v>3884790.2000000011</v>
      </c>
      <c r="L174" s="176">
        <f>SUM(L$98:L123)</f>
        <v>3573895.0400000042</v>
      </c>
      <c r="M174" s="176">
        <f>SUM(M$98:M123)</f>
        <v>3692141.0800000052</v>
      </c>
      <c r="N174" s="176">
        <f>SUM(N$98:N123)</f>
        <v>4328926.950000002</v>
      </c>
      <c r="O174" s="176">
        <f>SUM(O$98:O123)</f>
        <v>3950978.1900000079</v>
      </c>
      <c r="P174" s="176">
        <f>SUM(P$98:P123)</f>
        <v>4033103.6400000071</v>
      </c>
      <c r="Q174" s="176">
        <f>SUM(Q$98:Q123)</f>
        <v>4145111.1000000094</v>
      </c>
      <c r="R174" s="176">
        <f>SUM(R$98:R123)</f>
        <v>4023769.4900000077</v>
      </c>
      <c r="S174" s="176">
        <f>SUM(S$98:S123)</f>
        <v>4576387.1400000164</v>
      </c>
      <c r="T174" s="176">
        <f>SUM(T$98:T123)</f>
        <v>4471030.9000000125</v>
      </c>
      <c r="U174" s="176">
        <f>SUM(U$98:U123)</f>
        <v>4654030.8600000069</v>
      </c>
      <c r="V174" s="176">
        <f>SUM(V$98:V123)</f>
        <v>4375399.0900000129</v>
      </c>
      <c r="W174" s="176">
        <f>SUM(W$98:W123)</f>
        <v>4392206.6300000092</v>
      </c>
      <c r="X174" s="176">
        <f>SUM(X$98:X123)</f>
        <v>4311182.3399999924</v>
      </c>
      <c r="Y174" s="176">
        <f>SUM(Y$98:Y123)</f>
        <v>4362488.2299999902</v>
      </c>
      <c r="Z174" s="176">
        <f>SUM(Z$98:Z123)</f>
        <v>4984576.0699999863</v>
      </c>
      <c r="AA174" s="176">
        <f>SUM(AA$98:AA123)</f>
        <v>4461740.7500000009</v>
      </c>
      <c r="AB174" s="176">
        <f>SUM(AB$98:AB123)</f>
        <v>4709219.6099999994</v>
      </c>
      <c r="AC174" s="176">
        <f>SUM(AC$98:AC123)</f>
        <v>4804281.4399999911</v>
      </c>
      <c r="AD174" s="176">
        <f>SUM(AD$98:AD123)</f>
        <v>4661068.5199999847</v>
      </c>
      <c r="AE174" s="176">
        <f>SUM(AE$98:AE123)</f>
        <v>5070741.000000014</v>
      </c>
      <c r="AF174" s="176">
        <f>SUM(AF$98:AF123)</f>
        <v>4885085.5199999968</v>
      </c>
      <c r="AG174" s="176">
        <f>SUM(AG$98:AG123)</f>
        <v>5628476.9799999958</v>
      </c>
      <c r="AH174" s="176">
        <f>SUM(AH$98:AH123)</f>
        <v>5132941.4099999983</v>
      </c>
      <c r="AI174" s="176">
        <f>SUM(AI$98:AI123)</f>
        <v>4612761.2399999928</v>
      </c>
      <c r="AJ174" s="176">
        <f>SUM(AJ$98:AJ123)</f>
        <v>3478675.1399999922</v>
      </c>
      <c r="AK174" s="176">
        <f>SUM(AK$98:AK123)</f>
        <v>1819598.1699999985</v>
      </c>
      <c r="AL174" s="176">
        <f>SUM(AL$98:AL123)</f>
        <v>571271.51999999979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3380459.6400000053</v>
      </c>
      <c r="D175" s="176">
        <f>SUM(D$98:D124)</f>
        <v>3348222.7800000007</v>
      </c>
      <c r="E175" s="176">
        <f>SUM(E$98:E124)</f>
        <v>3628148.6099999989</v>
      </c>
      <c r="F175" s="176">
        <f>SUM(F$98:F124)</f>
        <v>3667472.0199999991</v>
      </c>
      <c r="G175" s="176">
        <f>SUM(G$98:G124)</f>
        <v>3893419.4999999939</v>
      </c>
      <c r="H175" s="176">
        <f>SUM(H$98:H124)</f>
        <v>4010871.6199999978</v>
      </c>
      <c r="I175" s="176">
        <f>SUM(I$98:I124)</f>
        <v>4144520.569999998</v>
      </c>
      <c r="J175" s="176">
        <f>SUM(J$98:J124)</f>
        <v>3959255.6799999978</v>
      </c>
      <c r="K175" s="176">
        <f>SUM(K$98:K124)</f>
        <v>3885665.2800000012</v>
      </c>
      <c r="L175" s="176">
        <f>SUM(L$98:L124)</f>
        <v>3574534.7200000044</v>
      </c>
      <c r="M175" s="176">
        <f>SUM(M$98:M124)</f>
        <v>3692141.0800000052</v>
      </c>
      <c r="N175" s="176">
        <f>SUM(N$98:N124)</f>
        <v>4328926.950000002</v>
      </c>
      <c r="O175" s="176">
        <f>SUM(O$98:O124)</f>
        <v>3950978.1900000079</v>
      </c>
      <c r="P175" s="176">
        <f>SUM(P$98:P124)</f>
        <v>4033103.6400000071</v>
      </c>
      <c r="Q175" s="176">
        <f>SUM(Q$98:Q124)</f>
        <v>4145111.1000000094</v>
      </c>
      <c r="R175" s="176">
        <f>SUM(R$98:R124)</f>
        <v>4023769.4900000077</v>
      </c>
      <c r="S175" s="176">
        <f>SUM(S$98:S124)</f>
        <v>4576387.1400000164</v>
      </c>
      <c r="T175" s="176">
        <f>SUM(T$98:T124)</f>
        <v>4471030.9000000125</v>
      </c>
      <c r="U175" s="176">
        <f>SUM(U$98:U124)</f>
        <v>4654030.8600000069</v>
      </c>
      <c r="V175" s="176">
        <f>SUM(V$98:V124)</f>
        <v>4375399.0900000129</v>
      </c>
      <c r="W175" s="176">
        <f>SUM(W$98:W124)</f>
        <v>4392206.6300000092</v>
      </c>
      <c r="X175" s="176">
        <f>SUM(X$98:X124)</f>
        <v>4311182.3399999924</v>
      </c>
      <c r="Y175" s="176">
        <f>SUM(Y$98:Y124)</f>
        <v>4362488.2299999902</v>
      </c>
      <c r="Z175" s="176">
        <f>SUM(Z$98:Z124)</f>
        <v>4984576.0699999863</v>
      </c>
      <c r="AA175" s="176">
        <f>SUM(AA$98:AA124)</f>
        <v>4461740.7500000009</v>
      </c>
      <c r="AB175" s="176">
        <f>SUM(AB$98:AB124)</f>
        <v>4709219.6099999994</v>
      </c>
      <c r="AC175" s="176">
        <f>SUM(AC$98:AC124)</f>
        <v>4804281.4399999911</v>
      </c>
      <c r="AD175" s="176">
        <f>SUM(AD$98:AD124)</f>
        <v>4661068.5199999847</v>
      </c>
      <c r="AE175" s="176">
        <f>SUM(AE$98:AE124)</f>
        <v>5070741.000000014</v>
      </c>
      <c r="AF175" s="176">
        <f>SUM(AF$98:AF124)</f>
        <v>4885085.5199999968</v>
      </c>
      <c r="AG175" s="176">
        <f>SUM(AG$98:AG124)</f>
        <v>5628476.9799999958</v>
      </c>
      <c r="AH175" s="176">
        <f>SUM(AH$98:AH124)</f>
        <v>5132941.4099999983</v>
      </c>
      <c r="AI175" s="176">
        <f>SUM(AI$98:AI124)</f>
        <v>4612761.2399999928</v>
      </c>
      <c r="AJ175" s="176">
        <f>SUM(AJ$98:AJ124)</f>
        <v>3478675.1399999922</v>
      </c>
      <c r="AK175" s="176">
        <f>SUM(AK$98:AK124)</f>
        <v>1819598.1699999985</v>
      </c>
      <c r="AL175" s="176">
        <f>SUM(AL$98:AL124)</f>
        <v>571271.51999999979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3380702.8300000052</v>
      </c>
      <c r="D176" s="176">
        <f>SUM(D$98:D125)</f>
        <v>3348222.7800000007</v>
      </c>
      <c r="E176" s="176">
        <f>SUM(E$98:E125)</f>
        <v>3628193.3099999991</v>
      </c>
      <c r="F176" s="176">
        <f>SUM(F$98:F125)</f>
        <v>3667472.0199999991</v>
      </c>
      <c r="G176" s="176">
        <f>SUM(G$98:G125)</f>
        <v>3894023.1799999941</v>
      </c>
      <c r="H176" s="176">
        <f>SUM(H$98:H125)</f>
        <v>4010871.6199999978</v>
      </c>
      <c r="I176" s="176">
        <f>SUM(I$98:I125)</f>
        <v>4136873.799999998</v>
      </c>
      <c r="J176" s="176">
        <f>SUM(J$98:J125)</f>
        <v>3960536.4299999978</v>
      </c>
      <c r="K176" s="176">
        <f>SUM(K$98:K125)</f>
        <v>3885665.2800000012</v>
      </c>
      <c r="L176" s="176">
        <f>SUM(L$98:L125)</f>
        <v>3574534.7200000044</v>
      </c>
      <c r="M176" s="176">
        <f>SUM(M$98:M125)</f>
        <v>3692141.0800000052</v>
      </c>
      <c r="N176" s="176">
        <f>SUM(N$98:N125)</f>
        <v>4328926.950000002</v>
      </c>
      <c r="O176" s="176">
        <f>SUM(O$98:O125)</f>
        <v>3950978.1900000079</v>
      </c>
      <c r="P176" s="176">
        <f>SUM(P$98:P125)</f>
        <v>4033103.6400000071</v>
      </c>
      <c r="Q176" s="176">
        <f>SUM(Q$98:Q125)</f>
        <v>4145111.1000000094</v>
      </c>
      <c r="R176" s="176">
        <f>SUM(R$98:R125)</f>
        <v>4023769.4900000077</v>
      </c>
      <c r="S176" s="176">
        <f>SUM(S$98:S125)</f>
        <v>4576387.1400000164</v>
      </c>
      <c r="T176" s="176">
        <f>SUM(T$98:T125)</f>
        <v>4471030.9000000125</v>
      </c>
      <c r="U176" s="176">
        <f>SUM(U$98:U125)</f>
        <v>4654030.8600000069</v>
      </c>
      <c r="V176" s="176">
        <f>SUM(V$98:V125)</f>
        <v>4375399.0900000129</v>
      </c>
      <c r="W176" s="176">
        <f>SUM(W$98:W125)</f>
        <v>4392206.6300000092</v>
      </c>
      <c r="X176" s="176">
        <f>SUM(X$98:X125)</f>
        <v>4311182.3399999924</v>
      </c>
      <c r="Y176" s="176">
        <f>SUM(Y$98:Y125)</f>
        <v>4362488.2299999902</v>
      </c>
      <c r="Z176" s="176">
        <f>SUM(Z$98:Z125)</f>
        <v>4984576.0699999863</v>
      </c>
      <c r="AA176" s="176">
        <f>SUM(AA$98:AA125)</f>
        <v>4461740.7500000009</v>
      </c>
      <c r="AB176" s="176">
        <f>SUM(AB$98:AB125)</f>
        <v>4709219.6099999994</v>
      </c>
      <c r="AC176" s="176">
        <f>SUM(AC$98:AC125)</f>
        <v>4804281.4399999911</v>
      </c>
      <c r="AD176" s="176">
        <f>SUM(AD$98:AD125)</f>
        <v>4661068.5199999847</v>
      </c>
      <c r="AE176" s="176">
        <f>SUM(AE$98:AE125)</f>
        <v>5070741.000000014</v>
      </c>
      <c r="AF176" s="176">
        <f>SUM(AF$98:AF125)</f>
        <v>4885085.5199999968</v>
      </c>
      <c r="AG176" s="176">
        <f>SUM(AG$98:AG125)</f>
        <v>5628476.9799999958</v>
      </c>
      <c r="AH176" s="176">
        <f>SUM(AH$98:AH125)</f>
        <v>5132941.4099999983</v>
      </c>
      <c r="AI176" s="176">
        <f>SUM(AI$98:AI125)</f>
        <v>4612761.2399999928</v>
      </c>
      <c r="AJ176" s="176">
        <f>SUM(AJ$98:AJ125)</f>
        <v>3478675.1399999922</v>
      </c>
      <c r="AK176" s="176">
        <f>SUM(AK$98:AK125)</f>
        <v>1819598.1699999985</v>
      </c>
      <c r="AL176" s="176">
        <f>SUM(AL$98:AL125)</f>
        <v>571271.51999999979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3380702.8300000052</v>
      </c>
      <c r="D177" s="176">
        <f>SUM(D$98:D126)</f>
        <v>3348267.4800000009</v>
      </c>
      <c r="E177" s="176">
        <f>SUM(E$98:E126)</f>
        <v>3628342.7699999991</v>
      </c>
      <c r="F177" s="176">
        <f>SUM(F$98:F126)</f>
        <v>3668285.5299999989</v>
      </c>
      <c r="G177" s="176">
        <f>SUM(G$98:G126)</f>
        <v>3898075.6299999943</v>
      </c>
      <c r="H177" s="176">
        <f>SUM(H$98:H126)</f>
        <v>4010871.6199999978</v>
      </c>
      <c r="I177" s="176">
        <f>SUM(I$98:I126)</f>
        <v>4138902.9099999978</v>
      </c>
      <c r="J177" s="176">
        <f>SUM(J$98:J126)</f>
        <v>3960536.4299999978</v>
      </c>
      <c r="K177" s="176">
        <f>SUM(K$98:K126)</f>
        <v>3885665.2800000012</v>
      </c>
      <c r="L177" s="176">
        <f>SUM(L$98:L126)</f>
        <v>3574534.7200000044</v>
      </c>
      <c r="M177" s="176">
        <f>SUM(M$98:M126)</f>
        <v>3692141.0800000052</v>
      </c>
      <c r="N177" s="176">
        <f>SUM(N$98:N126)</f>
        <v>4328926.950000002</v>
      </c>
      <c r="O177" s="176">
        <f>SUM(O$98:O126)</f>
        <v>3950978.1900000079</v>
      </c>
      <c r="P177" s="176">
        <f>SUM(P$98:P126)</f>
        <v>4033103.6400000071</v>
      </c>
      <c r="Q177" s="176">
        <f>SUM(Q$98:Q126)</f>
        <v>4145111.1000000094</v>
      </c>
      <c r="R177" s="176">
        <f>SUM(R$98:R126)</f>
        <v>4023769.4900000077</v>
      </c>
      <c r="S177" s="176">
        <f>SUM(S$98:S126)</f>
        <v>4576387.1400000164</v>
      </c>
      <c r="T177" s="176">
        <f>SUM(T$98:T126)</f>
        <v>4471030.9000000125</v>
      </c>
      <c r="U177" s="176">
        <f>SUM(U$98:U126)</f>
        <v>4654030.8600000069</v>
      </c>
      <c r="V177" s="176">
        <f>SUM(V$98:V126)</f>
        <v>4375399.0900000129</v>
      </c>
      <c r="W177" s="176">
        <f>SUM(W$98:W126)</f>
        <v>4392206.6300000092</v>
      </c>
      <c r="X177" s="176">
        <f>SUM(X$98:X126)</f>
        <v>4311182.3399999924</v>
      </c>
      <c r="Y177" s="176">
        <f>SUM(Y$98:Y126)</f>
        <v>4362488.2299999902</v>
      </c>
      <c r="Z177" s="176">
        <f>SUM(Z$98:Z126)</f>
        <v>4984576.0699999863</v>
      </c>
      <c r="AA177" s="176">
        <f>SUM(AA$98:AA126)</f>
        <v>4461740.7500000009</v>
      </c>
      <c r="AB177" s="176">
        <f>SUM(AB$98:AB126)</f>
        <v>4709219.6099999994</v>
      </c>
      <c r="AC177" s="176">
        <f>SUM(AC$98:AC126)</f>
        <v>4804281.4399999911</v>
      </c>
      <c r="AD177" s="176">
        <f>SUM(AD$98:AD126)</f>
        <v>4661068.5199999847</v>
      </c>
      <c r="AE177" s="176">
        <f>SUM(AE$98:AE126)</f>
        <v>5070741.000000014</v>
      </c>
      <c r="AF177" s="176">
        <f>SUM(AF$98:AF126)</f>
        <v>4885085.5199999968</v>
      </c>
      <c r="AG177" s="176">
        <f>SUM(AG$98:AG126)</f>
        <v>5628476.9799999958</v>
      </c>
      <c r="AH177" s="176">
        <f>SUM(AH$98:AH126)</f>
        <v>5132941.4099999983</v>
      </c>
      <c r="AI177" s="176">
        <f>SUM(AI$98:AI126)</f>
        <v>4612761.2399999928</v>
      </c>
      <c r="AJ177" s="176">
        <f>SUM(AJ$98:AJ126)</f>
        <v>3478675.1399999922</v>
      </c>
      <c r="AK177" s="176">
        <f>SUM(AK$98:AK126)</f>
        <v>1819598.1699999985</v>
      </c>
      <c r="AL177" s="176">
        <f>SUM(AL$98:AL126)</f>
        <v>571271.51999999979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3380876.610000005</v>
      </c>
      <c r="D178" s="176">
        <f>SUM(D$98:D127)</f>
        <v>3348267.4800000009</v>
      </c>
      <c r="E178" s="176">
        <f>SUM(E$98:E127)</f>
        <v>3632070.7699999991</v>
      </c>
      <c r="F178" s="176">
        <f>SUM(F$98:F127)</f>
        <v>3668285.5299999989</v>
      </c>
      <c r="G178" s="176">
        <f>SUM(G$98:G127)</f>
        <v>3897936.6299999943</v>
      </c>
      <c r="H178" s="176">
        <f>SUM(H$98:H127)</f>
        <v>4014606.4399999976</v>
      </c>
      <c r="I178" s="176">
        <f>SUM(I$98:I127)</f>
        <v>4139368.6699999976</v>
      </c>
      <c r="J178" s="176">
        <f>SUM(J$98:J127)</f>
        <v>3960536.4299999978</v>
      </c>
      <c r="K178" s="176">
        <f>SUM(K$98:K127)</f>
        <v>3885665.2800000012</v>
      </c>
      <c r="L178" s="176">
        <f>SUM(L$98:L127)</f>
        <v>3574534.7200000044</v>
      </c>
      <c r="M178" s="176">
        <f>SUM(M$98:M127)</f>
        <v>3692141.0800000052</v>
      </c>
      <c r="N178" s="176">
        <f>SUM(N$98:N127)</f>
        <v>4328926.950000002</v>
      </c>
      <c r="O178" s="176">
        <f>SUM(O$98:O127)</f>
        <v>3950978.1900000079</v>
      </c>
      <c r="P178" s="176">
        <f>SUM(P$98:P127)</f>
        <v>4033103.6400000071</v>
      </c>
      <c r="Q178" s="176">
        <f>SUM(Q$98:Q127)</f>
        <v>4145111.1000000094</v>
      </c>
      <c r="R178" s="176">
        <f>SUM(R$98:R127)</f>
        <v>4023769.4900000077</v>
      </c>
      <c r="S178" s="176">
        <f>SUM(S$98:S127)</f>
        <v>4576387.1400000164</v>
      </c>
      <c r="T178" s="176">
        <f>SUM(T$98:T127)</f>
        <v>4471030.9000000125</v>
      </c>
      <c r="U178" s="176">
        <f>SUM(U$98:U127)</f>
        <v>4654030.8600000069</v>
      </c>
      <c r="V178" s="176">
        <f>SUM(V$98:V127)</f>
        <v>4375399.0900000129</v>
      </c>
      <c r="W178" s="176">
        <f>SUM(W$98:W127)</f>
        <v>4392206.6300000092</v>
      </c>
      <c r="X178" s="176">
        <f>SUM(X$98:X127)</f>
        <v>4311182.3399999924</v>
      </c>
      <c r="Y178" s="176">
        <f>SUM(Y$98:Y127)</f>
        <v>4362488.2299999902</v>
      </c>
      <c r="Z178" s="176">
        <f>SUM(Z$98:Z127)</f>
        <v>4984576.0699999863</v>
      </c>
      <c r="AA178" s="176">
        <f>SUM(AA$98:AA127)</f>
        <v>4461740.7500000009</v>
      </c>
      <c r="AB178" s="176">
        <f>SUM(AB$98:AB127)</f>
        <v>4709219.6099999994</v>
      </c>
      <c r="AC178" s="176">
        <f>SUM(AC$98:AC127)</f>
        <v>4804281.4399999911</v>
      </c>
      <c r="AD178" s="176">
        <f>SUM(AD$98:AD127)</f>
        <v>4661068.5199999847</v>
      </c>
      <c r="AE178" s="176">
        <f>SUM(AE$98:AE127)</f>
        <v>5070741.000000014</v>
      </c>
      <c r="AF178" s="176">
        <f>SUM(AF$98:AF127)</f>
        <v>4885085.5199999968</v>
      </c>
      <c r="AG178" s="176">
        <f>SUM(AG$98:AG127)</f>
        <v>5628476.9799999958</v>
      </c>
      <c r="AH178" s="176">
        <f>SUM(AH$98:AH127)</f>
        <v>5132941.4099999983</v>
      </c>
      <c r="AI178" s="176">
        <f>SUM(AI$98:AI127)</f>
        <v>4612761.2399999928</v>
      </c>
      <c r="AJ178" s="176">
        <f>SUM(AJ$98:AJ127)</f>
        <v>3478675.1399999922</v>
      </c>
      <c r="AK178" s="176">
        <f>SUM(AK$98:AK127)</f>
        <v>1819598.1699999985</v>
      </c>
      <c r="AL178" s="176">
        <f>SUM(AL$98:AL127)</f>
        <v>571271.51999999979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3380876.610000005</v>
      </c>
      <c r="D179" s="176">
        <f>SUM(D$98:D128)</f>
        <v>3350794.5700000008</v>
      </c>
      <c r="E179" s="176">
        <f>SUM(E$98:E128)</f>
        <v>3632070.7699999991</v>
      </c>
      <c r="F179" s="176">
        <f>SUM(F$98:F128)</f>
        <v>3668723.6599999988</v>
      </c>
      <c r="G179" s="176">
        <f>SUM(G$98:G128)</f>
        <v>3900551.2699999944</v>
      </c>
      <c r="H179" s="176">
        <f>SUM(H$98:H128)</f>
        <v>4014606.4399999976</v>
      </c>
      <c r="I179" s="176">
        <f>SUM(I$98:I128)</f>
        <v>4139368.6699999976</v>
      </c>
      <c r="J179" s="176">
        <f>SUM(J$98:J128)</f>
        <v>3960536.4299999978</v>
      </c>
      <c r="K179" s="176">
        <f>SUM(K$98:K128)</f>
        <v>3885665.2800000012</v>
      </c>
      <c r="L179" s="176">
        <f>SUM(L$98:L128)</f>
        <v>3574534.7200000044</v>
      </c>
      <c r="M179" s="176">
        <f>SUM(M$98:M128)</f>
        <v>3692141.0800000052</v>
      </c>
      <c r="N179" s="176">
        <f>SUM(N$98:N128)</f>
        <v>4328926.950000002</v>
      </c>
      <c r="O179" s="176">
        <f>SUM(O$98:O128)</f>
        <v>3950978.1900000079</v>
      </c>
      <c r="P179" s="176">
        <f>SUM(P$98:P128)</f>
        <v>4033103.6400000071</v>
      </c>
      <c r="Q179" s="176">
        <f>SUM(Q$98:Q128)</f>
        <v>4145111.1000000094</v>
      </c>
      <c r="R179" s="176">
        <f>SUM(R$98:R128)</f>
        <v>4023769.4900000077</v>
      </c>
      <c r="S179" s="176">
        <f>SUM(S$98:S128)</f>
        <v>4576387.1400000164</v>
      </c>
      <c r="T179" s="176">
        <f>SUM(T$98:T128)</f>
        <v>4471030.9000000125</v>
      </c>
      <c r="U179" s="176">
        <f>SUM(U$98:U128)</f>
        <v>4654030.8600000069</v>
      </c>
      <c r="V179" s="176">
        <f>SUM(V$98:V128)</f>
        <v>4375399.0900000129</v>
      </c>
      <c r="W179" s="176">
        <f>SUM(W$98:W128)</f>
        <v>4392206.6300000092</v>
      </c>
      <c r="X179" s="176">
        <f>SUM(X$98:X128)</f>
        <v>4311182.3399999924</v>
      </c>
      <c r="Y179" s="176">
        <f>SUM(Y$98:Y128)</f>
        <v>4362488.2299999902</v>
      </c>
      <c r="Z179" s="176">
        <f>SUM(Z$98:Z128)</f>
        <v>4984576.0699999863</v>
      </c>
      <c r="AA179" s="176">
        <f>SUM(AA$98:AA128)</f>
        <v>4461740.7500000009</v>
      </c>
      <c r="AB179" s="176">
        <f>SUM(AB$98:AB128)</f>
        <v>4709219.6099999994</v>
      </c>
      <c r="AC179" s="176">
        <f>SUM(AC$98:AC128)</f>
        <v>4804281.4399999911</v>
      </c>
      <c r="AD179" s="176">
        <f>SUM(AD$98:AD128)</f>
        <v>4661068.5199999847</v>
      </c>
      <c r="AE179" s="176">
        <f>SUM(AE$98:AE128)</f>
        <v>5070741.000000014</v>
      </c>
      <c r="AF179" s="176">
        <f>SUM(AF$98:AF128)</f>
        <v>4885085.5199999968</v>
      </c>
      <c r="AG179" s="176">
        <f>SUM(AG$98:AG128)</f>
        <v>5628476.9799999958</v>
      </c>
      <c r="AH179" s="176">
        <f>SUM(AH$98:AH128)</f>
        <v>5132941.4099999983</v>
      </c>
      <c r="AI179" s="176">
        <f>SUM(AI$98:AI128)</f>
        <v>4612761.2399999928</v>
      </c>
      <c r="AJ179" s="176">
        <f>SUM(AJ$98:AJ128)</f>
        <v>3478675.1399999922</v>
      </c>
      <c r="AK179" s="176">
        <f>SUM(AK$98:AK128)</f>
        <v>1819598.1699999985</v>
      </c>
      <c r="AL179" s="176">
        <f>SUM(AL$98:AL128)</f>
        <v>571271.51999999979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3380876.610000005</v>
      </c>
      <c r="D180" s="176">
        <f>SUM(D$98:D129)</f>
        <v>3350794.5700000008</v>
      </c>
      <c r="E180" s="176">
        <f>SUM(E$98:E129)</f>
        <v>3632182.6099999989</v>
      </c>
      <c r="F180" s="176">
        <f>SUM(F$98:F129)</f>
        <v>3673414.129999999</v>
      </c>
      <c r="G180" s="176">
        <f>SUM(G$98:G129)</f>
        <v>3900551.2699999944</v>
      </c>
      <c r="H180" s="176">
        <f>SUM(H$98:H129)</f>
        <v>4014606.4399999976</v>
      </c>
      <c r="I180" s="176">
        <f>SUM(I$98:I129)</f>
        <v>4139368.6699999976</v>
      </c>
      <c r="J180" s="176">
        <f>SUM(J$98:J129)</f>
        <v>3960536.4299999978</v>
      </c>
      <c r="K180" s="176">
        <f>SUM(K$98:K129)</f>
        <v>3885665.2800000012</v>
      </c>
      <c r="L180" s="176">
        <f>SUM(L$98:L129)</f>
        <v>3574534.7200000044</v>
      </c>
      <c r="M180" s="176">
        <f>SUM(M$98:M129)</f>
        <v>3692141.0800000052</v>
      </c>
      <c r="N180" s="176">
        <f>SUM(N$98:N129)</f>
        <v>4328926.950000002</v>
      </c>
      <c r="O180" s="176">
        <f>SUM(O$98:O129)</f>
        <v>3950978.1900000079</v>
      </c>
      <c r="P180" s="176">
        <f>SUM(P$98:P129)</f>
        <v>4033103.6400000071</v>
      </c>
      <c r="Q180" s="176">
        <f>SUM(Q$98:Q129)</f>
        <v>4145111.1000000094</v>
      </c>
      <c r="R180" s="176">
        <f>SUM(R$98:R129)</f>
        <v>4023769.4900000077</v>
      </c>
      <c r="S180" s="176">
        <f>SUM(S$98:S129)</f>
        <v>4576387.1400000164</v>
      </c>
      <c r="T180" s="176">
        <f>SUM(T$98:T129)</f>
        <v>4471030.9000000125</v>
      </c>
      <c r="U180" s="176">
        <f>SUM(U$98:U129)</f>
        <v>4654030.8600000069</v>
      </c>
      <c r="V180" s="176">
        <f>SUM(V$98:V129)</f>
        <v>4375399.0900000129</v>
      </c>
      <c r="W180" s="176">
        <f>SUM(W$98:W129)</f>
        <v>4392206.6300000092</v>
      </c>
      <c r="X180" s="176">
        <f>SUM(X$98:X129)</f>
        <v>4311182.3399999924</v>
      </c>
      <c r="Y180" s="176">
        <f>SUM(Y$98:Y129)</f>
        <v>4362488.2299999902</v>
      </c>
      <c r="Z180" s="176">
        <f>SUM(Z$98:Z129)</f>
        <v>4984576.0699999863</v>
      </c>
      <c r="AA180" s="176">
        <f>SUM(AA$98:AA129)</f>
        <v>4461740.7500000009</v>
      </c>
      <c r="AB180" s="176">
        <f>SUM(AB$98:AB129)</f>
        <v>4709219.6099999994</v>
      </c>
      <c r="AC180" s="176">
        <f>SUM(AC$98:AC129)</f>
        <v>4804281.4399999911</v>
      </c>
      <c r="AD180" s="176">
        <f>SUM(AD$98:AD129)</f>
        <v>4661068.5199999847</v>
      </c>
      <c r="AE180" s="176">
        <f>SUM(AE$98:AE129)</f>
        <v>5070741.000000014</v>
      </c>
      <c r="AF180" s="176">
        <f>SUM(AF$98:AF129)</f>
        <v>4885085.5199999968</v>
      </c>
      <c r="AG180" s="176">
        <f>SUM(AG$98:AG129)</f>
        <v>5628476.9799999958</v>
      </c>
      <c r="AH180" s="176">
        <f>SUM(AH$98:AH129)</f>
        <v>5132941.4099999983</v>
      </c>
      <c r="AI180" s="176">
        <f>SUM(AI$98:AI129)</f>
        <v>4612761.2399999928</v>
      </c>
      <c r="AJ180" s="176">
        <f>SUM(AJ$98:AJ129)</f>
        <v>3478675.1399999922</v>
      </c>
      <c r="AK180" s="176">
        <f>SUM(AK$98:AK129)</f>
        <v>1819598.1699999985</v>
      </c>
      <c r="AL180" s="176">
        <f>SUM(AL$98:AL129)</f>
        <v>571271.51999999979</v>
      </c>
    </row>
    <row r="181" spans="1:46" x14ac:dyDescent="0.2">
      <c r="A181" s="568" t="s">
        <v>1051</v>
      </c>
      <c r="B181" s="6"/>
      <c r="C181" s="176">
        <f>SUM(C$98:C130)</f>
        <v>3380876.610000005</v>
      </c>
      <c r="D181" s="176">
        <f>SUM(D$98:D130)</f>
        <v>3350947.9200000009</v>
      </c>
      <c r="E181" s="176">
        <f>SUM(E$98:E130)</f>
        <v>3638130.6099999989</v>
      </c>
      <c r="F181" s="176">
        <f>SUM(F$98:F130)</f>
        <v>3673464.629999999</v>
      </c>
      <c r="G181" s="176">
        <f>SUM(G$98:G130)</f>
        <v>3900551.2699999944</v>
      </c>
      <c r="H181" s="176">
        <f>SUM(H$98:H130)</f>
        <v>4014606.4399999976</v>
      </c>
      <c r="I181" s="176">
        <f>SUM(I$98:I130)</f>
        <v>4139368.6699999976</v>
      </c>
      <c r="J181" s="176">
        <f>SUM(J$98:J130)</f>
        <v>3960536.4299999978</v>
      </c>
      <c r="K181" s="176">
        <f>SUM(K$98:K130)</f>
        <v>3885665.2800000012</v>
      </c>
      <c r="L181" s="176">
        <f>SUM(L$98:L130)</f>
        <v>3574534.7200000044</v>
      </c>
      <c r="M181" s="176">
        <f>SUM(M$98:M130)</f>
        <v>3692141.0800000052</v>
      </c>
      <c r="N181" s="176">
        <f>SUM(N$98:N130)</f>
        <v>4328926.950000002</v>
      </c>
      <c r="O181" s="176">
        <f>SUM(O$98:O130)</f>
        <v>3950978.1900000079</v>
      </c>
      <c r="P181" s="176">
        <f>SUM(P$98:P130)</f>
        <v>4033103.6400000071</v>
      </c>
      <c r="Q181" s="176">
        <f>SUM(Q$98:Q130)</f>
        <v>4145111.1000000094</v>
      </c>
      <c r="R181" s="176">
        <f>SUM(R$98:R130)</f>
        <v>4023769.4900000077</v>
      </c>
      <c r="S181" s="176">
        <f>SUM(S$98:S130)</f>
        <v>4576387.1400000164</v>
      </c>
      <c r="T181" s="176">
        <f>SUM(T$98:T130)</f>
        <v>4471030.9000000125</v>
      </c>
      <c r="U181" s="176">
        <f>SUM(U$98:U130)</f>
        <v>4654030.8600000069</v>
      </c>
      <c r="V181" s="176">
        <f>SUM(V$98:V130)</f>
        <v>4375399.0900000129</v>
      </c>
      <c r="W181" s="176">
        <f>SUM(W$98:W130)</f>
        <v>4392206.6300000092</v>
      </c>
      <c r="X181" s="176">
        <f>SUM(X$98:X130)</f>
        <v>4311182.3399999924</v>
      </c>
      <c r="Y181" s="176">
        <f>SUM(Y$98:Y130)</f>
        <v>4362488.2299999902</v>
      </c>
      <c r="Z181" s="176">
        <f>SUM(Z$98:Z130)</f>
        <v>4984576.0699999863</v>
      </c>
      <c r="AA181" s="176">
        <f>SUM(AA$98:AA130)</f>
        <v>4461740.7500000009</v>
      </c>
      <c r="AB181" s="176">
        <f>SUM(AB$98:AB130)</f>
        <v>4709219.6099999994</v>
      </c>
      <c r="AC181" s="176">
        <f>SUM(AC$98:AC130)</f>
        <v>4804281.4399999911</v>
      </c>
      <c r="AD181" s="176">
        <f>SUM(AD$98:AD130)</f>
        <v>4661068.5199999847</v>
      </c>
      <c r="AE181" s="176">
        <f>SUM(AE$98:AE130)</f>
        <v>5070741.000000014</v>
      </c>
      <c r="AF181" s="176">
        <f>SUM(AF$98:AF130)</f>
        <v>4885085.5199999968</v>
      </c>
      <c r="AG181" s="176">
        <f>SUM(AG$98:AG130)</f>
        <v>5628476.9799999958</v>
      </c>
      <c r="AH181" s="176">
        <f>SUM(AH$98:AH130)</f>
        <v>5132941.4099999983</v>
      </c>
      <c r="AI181" s="176">
        <f>SUM(AI$98:AI130)</f>
        <v>4612761.2399999928</v>
      </c>
      <c r="AJ181" s="176">
        <f>SUM(AJ$98:AJ130)</f>
        <v>3478675.1399999922</v>
      </c>
      <c r="AK181" s="176">
        <f>SUM(AK$98:AK130)</f>
        <v>1819598.1699999985</v>
      </c>
      <c r="AL181" s="176">
        <f>SUM(AL$98:AL130)</f>
        <v>571271.51999999979</v>
      </c>
    </row>
    <row r="182" spans="1:46" x14ac:dyDescent="0.2">
      <c r="A182" s="568" t="s">
        <v>1052</v>
      </c>
      <c r="B182" s="6"/>
      <c r="C182" s="176">
        <f>SUM(C$98:C131)</f>
        <v>3380876.610000005</v>
      </c>
      <c r="D182" s="176">
        <f>SUM(D$98:D131)</f>
        <v>3351579.1400000011</v>
      </c>
      <c r="E182" s="176">
        <f>SUM(E$98:E131)</f>
        <v>3638130.6099999989</v>
      </c>
      <c r="F182" s="176">
        <f>SUM(F$98:F131)</f>
        <v>3673464.629999999</v>
      </c>
      <c r="G182" s="176">
        <f>SUM(G$98:G131)</f>
        <v>3900551.2699999944</v>
      </c>
      <c r="H182" s="176">
        <f>SUM(H$98:H131)</f>
        <v>4014606.4399999976</v>
      </c>
      <c r="I182" s="176">
        <f>SUM(I$98:I131)</f>
        <v>4139368.6699999976</v>
      </c>
      <c r="J182" s="176">
        <f>SUM(J$98:J131)</f>
        <v>3960536.4299999978</v>
      </c>
      <c r="K182" s="176">
        <f>SUM(K$98:K131)</f>
        <v>3885665.2800000012</v>
      </c>
      <c r="L182" s="176">
        <f>SUM(L$98:L131)</f>
        <v>3574534.7200000044</v>
      </c>
      <c r="M182" s="176">
        <f>SUM(M$98:M131)</f>
        <v>3692141.0800000052</v>
      </c>
      <c r="N182" s="176">
        <f>SUM(N$98:N131)</f>
        <v>4328926.950000002</v>
      </c>
      <c r="O182" s="176">
        <f>SUM(O$98:O131)</f>
        <v>3950978.1900000079</v>
      </c>
      <c r="P182" s="176">
        <f>SUM(P$98:P131)</f>
        <v>4033103.6400000071</v>
      </c>
      <c r="Q182" s="176">
        <f>SUM(Q$98:Q131)</f>
        <v>4145111.1000000094</v>
      </c>
      <c r="R182" s="176">
        <f>SUM(R$98:R131)</f>
        <v>4023769.4900000077</v>
      </c>
      <c r="S182" s="176">
        <f>SUM(S$98:S131)</f>
        <v>4576387.1400000164</v>
      </c>
      <c r="T182" s="176">
        <f>SUM(T$98:T131)</f>
        <v>4471030.9000000125</v>
      </c>
      <c r="U182" s="176">
        <f>SUM(U$98:U131)</f>
        <v>4654030.8600000069</v>
      </c>
      <c r="V182" s="176">
        <f>SUM(V$98:V131)</f>
        <v>4375399.0900000129</v>
      </c>
      <c r="W182" s="176">
        <f>SUM(W$98:W131)</f>
        <v>4392206.6300000092</v>
      </c>
      <c r="X182" s="176">
        <f>SUM(X$98:X131)</f>
        <v>4311182.3399999924</v>
      </c>
      <c r="Y182" s="176">
        <f>SUM(Y$98:Y131)</f>
        <v>4362488.2299999902</v>
      </c>
      <c r="Z182" s="176">
        <f>SUM(Z$98:Z131)</f>
        <v>4984576.0699999863</v>
      </c>
      <c r="AA182" s="176">
        <f>SUM(AA$98:AA131)</f>
        <v>4461740.7500000009</v>
      </c>
      <c r="AB182" s="176">
        <f>SUM(AB$98:AB131)</f>
        <v>4709219.6099999994</v>
      </c>
      <c r="AC182" s="176">
        <f>SUM(AC$98:AC131)</f>
        <v>4804281.4399999911</v>
      </c>
      <c r="AD182" s="176">
        <f>SUM(AD$98:AD131)</f>
        <v>4661068.5199999847</v>
      </c>
      <c r="AE182" s="176">
        <f>SUM(AE$98:AE131)</f>
        <v>5070741.000000014</v>
      </c>
      <c r="AF182" s="176">
        <f>SUM(AF$98:AF131)</f>
        <v>4885085.5199999968</v>
      </c>
      <c r="AG182" s="176">
        <f>SUM(AG$98:AG131)</f>
        <v>5628476.9799999958</v>
      </c>
      <c r="AH182" s="176">
        <f>SUM(AH$98:AH131)</f>
        <v>5132941.4099999983</v>
      </c>
      <c r="AI182" s="176">
        <f>SUM(AI$98:AI131)</f>
        <v>4612761.2399999928</v>
      </c>
      <c r="AJ182" s="176">
        <f>SUM(AJ$98:AJ131)</f>
        <v>3478675.1399999922</v>
      </c>
      <c r="AK182" s="176">
        <f>SUM(AK$98:AK131)</f>
        <v>1819598.1699999985</v>
      </c>
      <c r="AL182" s="176">
        <f>SUM(AL$98:AL131)</f>
        <v>571271.51999999979</v>
      </c>
    </row>
    <row r="183" spans="1:46" x14ac:dyDescent="0.2">
      <c r="A183" s="568" t="s">
        <v>1053</v>
      </c>
      <c r="B183" s="6"/>
      <c r="C183" s="176">
        <f>SUM(C$98:C132)</f>
        <v>3380977.610000005</v>
      </c>
      <c r="D183" s="176">
        <f>SUM(D$98:D132)</f>
        <v>3351579.1400000011</v>
      </c>
      <c r="E183" s="176">
        <f>SUM(E$98:E132)</f>
        <v>3638130.6099999989</v>
      </c>
      <c r="F183" s="176">
        <f>SUM(F$98:F132)</f>
        <v>3673464.629999999</v>
      </c>
      <c r="G183" s="176">
        <f>SUM(G$98:G132)</f>
        <v>3900551.2699999944</v>
      </c>
      <c r="H183" s="176">
        <f>SUM(H$98:H132)</f>
        <v>4014606.4399999976</v>
      </c>
      <c r="I183" s="176">
        <f>SUM(I$98:I132)</f>
        <v>4139368.6699999976</v>
      </c>
      <c r="J183" s="176">
        <f>SUM(J$98:J132)</f>
        <v>3960536.4299999978</v>
      </c>
      <c r="K183" s="176">
        <f>SUM(K$98:K132)</f>
        <v>3885665.2800000012</v>
      </c>
      <c r="L183" s="176">
        <f>SUM(L$98:L132)</f>
        <v>3574534.7200000044</v>
      </c>
      <c r="M183" s="176">
        <f>SUM(M$98:M132)</f>
        <v>3692141.0800000052</v>
      </c>
      <c r="N183" s="176">
        <f>SUM(N$98:N132)</f>
        <v>4328926.950000002</v>
      </c>
      <c r="O183" s="176">
        <f>SUM(O$98:O132)</f>
        <v>3950978.1900000079</v>
      </c>
      <c r="P183" s="176">
        <f>SUM(P$98:P132)</f>
        <v>4033103.6400000071</v>
      </c>
      <c r="Q183" s="176">
        <f>SUM(Q$98:Q132)</f>
        <v>4145111.1000000094</v>
      </c>
      <c r="R183" s="176">
        <f>SUM(R$98:R132)</f>
        <v>4023769.4900000077</v>
      </c>
      <c r="S183" s="176">
        <f>SUM(S$98:S132)</f>
        <v>4576387.1400000164</v>
      </c>
      <c r="T183" s="176">
        <f>SUM(T$98:T132)</f>
        <v>4471030.9000000125</v>
      </c>
      <c r="U183" s="176">
        <f>SUM(U$98:U132)</f>
        <v>4654030.8600000069</v>
      </c>
      <c r="V183" s="176">
        <f>SUM(V$98:V132)</f>
        <v>4375399.0900000129</v>
      </c>
      <c r="W183" s="176">
        <f>SUM(W$98:W132)</f>
        <v>4392206.6300000092</v>
      </c>
      <c r="X183" s="176">
        <f>SUM(X$98:X132)</f>
        <v>4311182.3399999924</v>
      </c>
      <c r="Y183" s="176">
        <f>SUM(Y$98:Y132)</f>
        <v>4362488.2299999902</v>
      </c>
      <c r="Z183" s="176">
        <f>SUM(Z$98:Z132)</f>
        <v>4984576.0699999863</v>
      </c>
      <c r="AA183" s="176">
        <f>SUM(AA$98:AA132)</f>
        <v>4461740.7500000009</v>
      </c>
      <c r="AB183" s="176">
        <f>SUM(AB$98:AB132)</f>
        <v>4709219.6099999994</v>
      </c>
      <c r="AC183" s="176">
        <f>SUM(AC$98:AC132)</f>
        <v>4804281.4399999911</v>
      </c>
      <c r="AD183" s="176">
        <f>SUM(AD$98:AD132)</f>
        <v>4661068.5199999847</v>
      </c>
      <c r="AE183" s="176">
        <f>SUM(AE$98:AE132)</f>
        <v>5070741.000000014</v>
      </c>
      <c r="AF183" s="176">
        <f>SUM(AF$98:AF132)</f>
        <v>4885085.5199999968</v>
      </c>
      <c r="AG183" s="176">
        <f>SUM(AG$98:AG132)</f>
        <v>5628476.9799999958</v>
      </c>
      <c r="AH183" s="176">
        <f>SUM(AH$98:AH132)</f>
        <v>5132941.4099999983</v>
      </c>
      <c r="AI183" s="176">
        <f>SUM(AI$98:AI132)</f>
        <v>4612761.2399999928</v>
      </c>
      <c r="AJ183" s="176">
        <f>SUM(AJ$98:AJ132)</f>
        <v>3478675.1399999922</v>
      </c>
      <c r="AK183" s="176">
        <f>SUM(AK$98:AK132)</f>
        <v>1819598.1699999985</v>
      </c>
      <c r="AL183" s="176">
        <f>SUM(AL$98:AL132)</f>
        <v>571271.51999999979</v>
      </c>
    </row>
    <row r="184" spans="1:46" x14ac:dyDescent="0.2">
      <c r="A184" s="568" t="s">
        <v>1054</v>
      </c>
      <c r="B184" s="6"/>
      <c r="C184" s="176">
        <f>SUM(C$98:C133)</f>
        <v>3380977.610000005</v>
      </c>
      <c r="D184" s="176">
        <f>SUM(D$98:D133)</f>
        <v>3351579.1400000011</v>
      </c>
      <c r="E184" s="176">
        <f>SUM(E$98:E133)</f>
        <v>3638130.6099999989</v>
      </c>
      <c r="F184" s="176">
        <f>SUM(F$98:F133)</f>
        <v>3673464.629999999</v>
      </c>
      <c r="G184" s="176">
        <f>SUM(G$98:G133)</f>
        <v>3900551.2699999944</v>
      </c>
      <c r="H184" s="176">
        <f>SUM(H$98:H133)</f>
        <v>4014606.4399999976</v>
      </c>
      <c r="I184" s="176">
        <f>SUM(I$98:I133)</f>
        <v>4139368.6699999976</v>
      </c>
      <c r="J184" s="176">
        <f>SUM(J$98:J133)</f>
        <v>3960536.4299999978</v>
      </c>
      <c r="K184" s="176">
        <f>SUM(K$98:K133)</f>
        <v>3885665.2800000012</v>
      </c>
      <c r="L184" s="176">
        <f>SUM(L$98:L133)</f>
        <v>3574534.7200000044</v>
      </c>
      <c r="M184" s="176">
        <f>SUM(M$98:M133)</f>
        <v>3692141.0800000052</v>
      </c>
      <c r="N184" s="176">
        <f>SUM(N$98:N133)</f>
        <v>4328926.950000002</v>
      </c>
      <c r="O184" s="176">
        <f>SUM(O$98:O133)</f>
        <v>3950978.1900000079</v>
      </c>
      <c r="P184" s="176">
        <f>SUM(P$98:P133)</f>
        <v>4033103.6400000071</v>
      </c>
      <c r="Q184" s="176">
        <f>SUM(Q$98:Q133)</f>
        <v>4145111.1000000094</v>
      </c>
      <c r="R184" s="176">
        <f>SUM(R$98:R133)</f>
        <v>4023769.4900000077</v>
      </c>
      <c r="S184" s="176">
        <f>SUM(S$98:S133)</f>
        <v>4576387.1400000164</v>
      </c>
      <c r="T184" s="176">
        <f>SUM(T$98:T133)</f>
        <v>4471030.9000000125</v>
      </c>
      <c r="U184" s="176">
        <f>SUM(U$98:U133)</f>
        <v>4654030.8600000069</v>
      </c>
      <c r="V184" s="176">
        <f>SUM(V$98:V133)</f>
        <v>4375399.0900000129</v>
      </c>
      <c r="W184" s="176">
        <f>SUM(W$98:W133)</f>
        <v>4392206.6300000092</v>
      </c>
      <c r="X184" s="176">
        <f>SUM(X$98:X133)</f>
        <v>4311182.3399999924</v>
      </c>
      <c r="Y184" s="176">
        <f>SUM(Y$98:Y133)</f>
        <v>4362488.2299999902</v>
      </c>
      <c r="Z184" s="176">
        <f>SUM(Z$98:Z133)</f>
        <v>4984576.0699999863</v>
      </c>
      <c r="AA184" s="176">
        <f>SUM(AA$98:AA133)</f>
        <v>4461740.7500000009</v>
      </c>
      <c r="AB184" s="176">
        <f>SUM(AB$98:AB133)</f>
        <v>4709219.6099999994</v>
      </c>
      <c r="AC184" s="176">
        <f>SUM(AC$98:AC133)</f>
        <v>4804281.4399999911</v>
      </c>
      <c r="AD184" s="176">
        <f>SUM(AD$98:AD133)</f>
        <v>4661068.5199999847</v>
      </c>
      <c r="AE184" s="176">
        <f>SUM(AE$98:AE133)</f>
        <v>5070741.000000014</v>
      </c>
      <c r="AF184" s="176">
        <f>SUM(AF$98:AF133)</f>
        <v>4885085.5199999968</v>
      </c>
      <c r="AG184" s="176">
        <f>SUM(AG$98:AG133)</f>
        <v>5628476.9799999958</v>
      </c>
      <c r="AH184" s="176">
        <f>SUM(AH$98:AH133)</f>
        <v>5132941.4099999983</v>
      </c>
      <c r="AI184" s="176">
        <f>SUM(AI$98:AI133)</f>
        <v>4612761.2399999928</v>
      </c>
      <c r="AJ184" s="176">
        <f>SUM(AJ$98:AJ133)</f>
        <v>3478675.1399999922</v>
      </c>
      <c r="AK184" s="176">
        <f>SUM(AK$98:AK133)</f>
        <v>1819598.1699999985</v>
      </c>
      <c r="AL184" s="176">
        <f>SUM(AL$98:AL133)</f>
        <v>571271.51999999979</v>
      </c>
    </row>
    <row r="187" spans="1:46" x14ac:dyDescent="0.2">
      <c r="C187" s="3" t="str">
        <f>+$C$1</f>
        <v>Allied Pacific (APC Medicare)</v>
      </c>
      <c r="M187" s="3" t="s">
        <v>471</v>
      </c>
      <c r="O187" s="3" t="str">
        <f>+$C$1</f>
        <v>Allied Pacific (APC Medicare)</v>
      </c>
      <c r="Y187" s="130" t="s">
        <v>473</v>
      </c>
      <c r="AA187" s="3" t="str">
        <f>+$C$1</f>
        <v>Allied Pacific (APC Medicare)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0.50188191210565625</v>
      </c>
      <c r="D193" s="177">
        <f t="shared" si="87"/>
        <v>0.30494926804855305</v>
      </c>
      <c r="E193" s="177">
        <f t="shared" si="87"/>
        <v>0.11984521704413945</v>
      </c>
      <c r="F193" s="177">
        <f t="shared" si="87"/>
        <v>0.13906298596651068</v>
      </c>
      <c r="G193" s="177">
        <f t="shared" si="87"/>
        <v>0.26068193796763173</v>
      </c>
      <c r="H193" s="177">
        <f t="shared" si="87"/>
        <v>0.41301795948712272</v>
      </c>
      <c r="I193" s="177">
        <f t="shared" si="87"/>
        <v>0.30462153857813412</v>
      </c>
      <c r="J193" s="177">
        <f t="shared" si="87"/>
        <v>0.26208832075197208</v>
      </c>
      <c r="K193" s="177">
        <f t="shared" si="87"/>
        <v>0.33414322211997433</v>
      </c>
      <c r="L193" s="177">
        <f t="shared" si="87"/>
        <v>7.60405222259119E-2</v>
      </c>
      <c r="M193" s="177">
        <f t="shared" si="87"/>
        <v>0.31616709491625722</v>
      </c>
      <c r="N193" s="177">
        <f t="shared" si="87"/>
        <v>0.2180639098222745</v>
      </c>
      <c r="O193" s="177">
        <f t="shared" si="87"/>
        <v>0.26104265999609183</v>
      </c>
      <c r="P193" s="177">
        <f t="shared" si="87"/>
        <v>0.30531589887126831</v>
      </c>
      <c r="Q193" s="177">
        <f t="shared" si="87"/>
        <v>0.30728976413109343</v>
      </c>
      <c r="R193" s="177">
        <f t="shared" si="87"/>
        <v>0.21834938705508103</v>
      </c>
      <c r="S193" s="177">
        <f t="shared" si="87"/>
        <v>0.40259603199503163</v>
      </c>
      <c r="T193" s="177">
        <f t="shared" si="87"/>
        <v>0.36876838889125296</v>
      </c>
      <c r="U193" s="177">
        <f t="shared" si="87"/>
        <v>0.37871380136584359</v>
      </c>
      <c r="V193" s="177">
        <f t="shared" si="87"/>
        <v>0.36873800627969122</v>
      </c>
      <c r="W193" s="177">
        <f t="shared" si="87"/>
        <v>0.34353509183742043</v>
      </c>
      <c r="X193" s="177">
        <f t="shared" si="87"/>
        <v>0.34944671345884709</v>
      </c>
      <c r="Y193" s="177">
        <f t="shared" si="87"/>
        <v>0.28346298376826506</v>
      </c>
      <c r="Z193" s="177">
        <f t="shared" si="87"/>
        <v>0.3717582899088317</v>
      </c>
      <c r="AA193" s="177">
        <f t="shared" si="87"/>
        <v>0.20914258917407991</v>
      </c>
      <c r="AB193" s="177">
        <f t="shared" si="87"/>
        <v>0.24127340731398325</v>
      </c>
      <c r="AC193" s="177">
        <f t="shared" si="87"/>
        <v>0.29716001557087229</v>
      </c>
      <c r="AD193" s="177">
        <f t="shared" si="87"/>
        <v>0.25717762266980987</v>
      </c>
      <c r="AE193" s="177">
        <f t="shared" si="87"/>
        <v>0.2398169930724901</v>
      </c>
      <c r="AF193" s="177">
        <f t="shared" si="87"/>
        <v>0.19822334669427166</v>
      </c>
      <c r="AG193" s="177">
        <f t="shared" si="87"/>
        <v>0.33070285964636276</v>
      </c>
      <c r="AH193" s="177">
        <f t="shared" si="87"/>
        <v>0.26581723907333971</v>
      </c>
      <c r="AI193" s="177">
        <f t="shared" si="87"/>
        <v>0.30088843626262352</v>
      </c>
      <c r="AJ193" s="177">
        <f t="shared" si="87"/>
        <v>0.38811206689081429</v>
      </c>
      <c r="AK193" s="177">
        <f t="shared" si="87"/>
        <v>0.21456133911148093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0.83982835314888715</v>
      </c>
      <c r="D194" s="177">
        <f t="shared" si="88"/>
        <v>0.67766983162244865</v>
      </c>
      <c r="E194" s="177">
        <f t="shared" si="88"/>
        <v>0.79855311468863255</v>
      </c>
      <c r="F194" s="177">
        <f t="shared" si="88"/>
        <v>0.71845148331543962</v>
      </c>
      <c r="G194" s="177">
        <f t="shared" si="88"/>
        <v>0.88085358997585039</v>
      </c>
      <c r="H194" s="177">
        <f t="shared" si="88"/>
        <v>0.79709389587681712</v>
      </c>
      <c r="I194" s="177">
        <f t="shared" si="88"/>
        <v>0.77372352746165218</v>
      </c>
      <c r="J194" s="177">
        <f t="shared" si="88"/>
        <v>0.80399126030492163</v>
      </c>
      <c r="K194" s="177">
        <f t="shared" si="88"/>
        <v>0.58616348316765721</v>
      </c>
      <c r="L194" s="177">
        <f t="shared" si="88"/>
        <v>0.77650445662115619</v>
      </c>
      <c r="M194" s="177">
        <f t="shared" si="88"/>
        <v>0.76464918921973646</v>
      </c>
      <c r="N194" s="177">
        <f t="shared" si="88"/>
        <v>0.71834324571217179</v>
      </c>
      <c r="O194" s="177">
        <f t="shared" si="88"/>
        <v>0.74173335986016109</v>
      </c>
      <c r="P194" s="177">
        <f t="shared" si="88"/>
        <v>0.74654943104208582</v>
      </c>
      <c r="Q194" s="177">
        <f t="shared" si="88"/>
        <v>0.68395749514788284</v>
      </c>
      <c r="R194" s="177">
        <f t="shared" si="88"/>
        <v>0.85438042974134487</v>
      </c>
      <c r="S194" s="177">
        <f t="shared" si="88"/>
        <v>0.83807085418531946</v>
      </c>
      <c r="T194" s="177">
        <f t="shared" si="88"/>
        <v>0.77931025600234272</v>
      </c>
      <c r="U194" s="177">
        <f t="shared" si="88"/>
        <v>0.79203265157667768</v>
      </c>
      <c r="V194" s="177">
        <f t="shared" si="88"/>
        <v>0.81371128190326458</v>
      </c>
      <c r="W194" s="177">
        <f t="shared" si="88"/>
        <v>0.86079755682395076</v>
      </c>
      <c r="X194" s="177">
        <f t="shared" si="88"/>
        <v>0.77372360595794287</v>
      </c>
      <c r="Y194" s="177">
        <f t="shared" si="88"/>
        <v>0.82582009715331839</v>
      </c>
      <c r="Z194" s="177">
        <f t="shared" si="88"/>
        <v>0.78563140721516111</v>
      </c>
      <c r="AA194" s="177">
        <f t="shared" si="88"/>
        <v>0.77567755883047296</v>
      </c>
      <c r="AB194" s="177">
        <f t="shared" si="88"/>
        <v>0.7882366236357814</v>
      </c>
      <c r="AC194" s="177">
        <f t="shared" si="88"/>
        <v>0.77539484755985733</v>
      </c>
      <c r="AD194" s="177">
        <f t="shared" si="88"/>
        <v>0.75953421238031116</v>
      </c>
      <c r="AE194" s="177">
        <f t="shared" si="88"/>
        <v>0.78025781260839089</v>
      </c>
      <c r="AF194" s="177">
        <f t="shared" si="88"/>
        <v>0.77824243183544572</v>
      </c>
      <c r="AG194" s="177">
        <f t="shared" si="88"/>
        <v>0.78500482913454828</v>
      </c>
      <c r="AH194" s="177">
        <f t="shared" si="88"/>
        <v>0.72930967857012474</v>
      </c>
      <c r="AI194" s="177">
        <f t="shared" si="88"/>
        <v>0.78392195899527295</v>
      </c>
      <c r="AJ194" s="177">
        <f t="shared" si="88"/>
        <v>0.65593826907332298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0.87682896170876068</v>
      </c>
      <c r="D195" s="177">
        <f t="shared" si="89"/>
        <v>0.88672853093408144</v>
      </c>
      <c r="E195" s="177">
        <f t="shared" si="89"/>
        <v>0.82504736918282762</v>
      </c>
      <c r="F195" s="177">
        <f t="shared" si="89"/>
        <v>0.95518487491653037</v>
      </c>
      <c r="G195" s="177">
        <f t="shared" si="89"/>
        <v>0.91252127449381715</v>
      </c>
      <c r="H195" s="177">
        <f t="shared" si="89"/>
        <v>0.91173822177380714</v>
      </c>
      <c r="I195" s="177">
        <f t="shared" si="89"/>
        <v>0.87775331900964393</v>
      </c>
      <c r="J195" s="177">
        <f t="shared" si="89"/>
        <v>0.84621988179819752</v>
      </c>
      <c r="K195" s="177">
        <f t="shared" si="89"/>
        <v>0.88272537737938261</v>
      </c>
      <c r="L195" s="177">
        <f t="shared" si="89"/>
        <v>0.8870350909782585</v>
      </c>
      <c r="M195" s="177">
        <f t="shared" si="89"/>
        <v>0.8802891490546253</v>
      </c>
      <c r="N195" s="177">
        <f t="shared" si="89"/>
        <v>0.86687189405320375</v>
      </c>
      <c r="O195" s="177">
        <f t="shared" si="89"/>
        <v>0.8848911999716057</v>
      </c>
      <c r="P195" s="177">
        <f t="shared" si="89"/>
        <v>0.91278860865939448</v>
      </c>
      <c r="Q195" s="177">
        <f t="shared" si="89"/>
        <v>0.96525304790642186</v>
      </c>
      <c r="R195" s="177">
        <f t="shared" si="89"/>
        <v>0.95661406982012409</v>
      </c>
      <c r="S195" s="177">
        <f t="shared" si="89"/>
        <v>0.95286388054174465</v>
      </c>
      <c r="T195" s="177">
        <f t="shared" si="89"/>
        <v>0.94631276982754431</v>
      </c>
      <c r="U195" s="177">
        <f t="shared" si="89"/>
        <v>0.93842626957160258</v>
      </c>
      <c r="V195" s="177">
        <f t="shared" si="89"/>
        <v>0.95075845924282398</v>
      </c>
      <c r="W195" s="177">
        <f t="shared" si="89"/>
        <v>0.93459082628680068</v>
      </c>
      <c r="X195" s="177">
        <f t="shared" si="89"/>
        <v>0.92762242938017314</v>
      </c>
      <c r="Y195" s="177">
        <f t="shared" si="89"/>
        <v>0.94872739384300875</v>
      </c>
      <c r="Z195" s="177">
        <f t="shared" si="89"/>
        <v>0.94418863646638063</v>
      </c>
      <c r="AA195" s="177">
        <f t="shared" si="89"/>
        <v>0.94402137740868541</v>
      </c>
      <c r="AB195" s="177">
        <f t="shared" si="89"/>
        <v>0.93983490331408304</v>
      </c>
      <c r="AC195" s="177">
        <f t="shared" si="89"/>
        <v>0.9363164594597253</v>
      </c>
      <c r="AD195" s="177">
        <f t="shared" si="89"/>
        <v>0.92458265196914069</v>
      </c>
      <c r="AE195" s="177">
        <f t="shared" si="89"/>
        <v>0.93436306383285517</v>
      </c>
      <c r="AF195" s="177">
        <f t="shared" si="89"/>
        <v>0.92428954141698716</v>
      </c>
      <c r="AG195" s="177">
        <f t="shared" si="89"/>
        <v>0.92332800882602351</v>
      </c>
      <c r="AH195" s="177">
        <f t="shared" si="89"/>
        <v>0.94502278047748134</v>
      </c>
      <c r="AI195" s="177">
        <f t="shared" si="89"/>
        <v>0.93344591145584621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0.9531728405486164</v>
      </c>
      <c r="D196" s="177">
        <f t="shared" si="90"/>
        <v>0.89118867750717223</v>
      </c>
      <c r="E196" s="177">
        <f t="shared" si="90"/>
        <v>0.98211358624322742</v>
      </c>
      <c r="F196" s="177">
        <f t="shared" si="90"/>
        <v>0.94218917767269206</v>
      </c>
      <c r="G196" s="177">
        <f t="shared" si="90"/>
        <v>0.95332918618219642</v>
      </c>
      <c r="H196" s="177">
        <f t="shared" si="90"/>
        <v>0.9262360750983466</v>
      </c>
      <c r="I196" s="177">
        <f t="shared" si="90"/>
        <v>0.95451449341981476</v>
      </c>
      <c r="J196" s="177">
        <f t="shared" si="90"/>
        <v>0.95581248725615375</v>
      </c>
      <c r="K196" s="177">
        <f t="shared" si="90"/>
        <v>0.9445091728816799</v>
      </c>
      <c r="L196" s="177">
        <f t="shared" si="90"/>
        <v>0.95500127608094487</v>
      </c>
      <c r="M196" s="177">
        <f t="shared" si="90"/>
        <v>0.93639146543903062</v>
      </c>
      <c r="N196" s="177">
        <f t="shared" si="90"/>
        <v>0.95513547717420633</v>
      </c>
      <c r="O196" s="177">
        <f t="shared" si="90"/>
        <v>0.97200918417567306</v>
      </c>
      <c r="P196" s="177">
        <f t="shared" si="90"/>
        <v>0.9924282413286879</v>
      </c>
      <c r="Q196" s="177">
        <f t="shared" si="90"/>
        <v>0.99289984912199514</v>
      </c>
      <c r="R196" s="177">
        <f t="shared" si="90"/>
        <v>0.98000655307086249</v>
      </c>
      <c r="S196" s="177">
        <f t="shared" si="90"/>
        <v>0.98148662464663639</v>
      </c>
      <c r="T196" s="177">
        <f t="shared" si="90"/>
        <v>0.98406304793569221</v>
      </c>
      <c r="U196" s="177">
        <f t="shared" si="90"/>
        <v>0.97954203871968759</v>
      </c>
      <c r="V196" s="177">
        <f t="shared" si="90"/>
        <v>0.97082351539621481</v>
      </c>
      <c r="W196" s="177">
        <f t="shared" si="90"/>
        <v>0.98190691414485465</v>
      </c>
      <c r="X196" s="177">
        <f t="shared" si="90"/>
        <v>0.97851483759565272</v>
      </c>
      <c r="Y196" s="177">
        <f t="shared" si="90"/>
        <v>0.98755184945077512</v>
      </c>
      <c r="Z196" s="177">
        <f t="shared" si="90"/>
        <v>0.98557927012512125</v>
      </c>
      <c r="AA196" s="177">
        <f t="shared" si="90"/>
        <v>0.98114629746882442</v>
      </c>
      <c r="AB196" s="177">
        <f t="shared" si="90"/>
        <v>0.97674867899615769</v>
      </c>
      <c r="AC196" s="177">
        <f t="shared" si="90"/>
        <v>0.9745906550799972</v>
      </c>
      <c r="AD196" s="177">
        <f t="shared" si="90"/>
        <v>0.97731084004424129</v>
      </c>
      <c r="AE196" s="177">
        <f t="shared" si="90"/>
        <v>0.98426618891436168</v>
      </c>
      <c r="AF196" s="177">
        <f t="shared" si="90"/>
        <v>0.97338076143332819</v>
      </c>
      <c r="AG196" s="177">
        <f t="shared" si="90"/>
        <v>0.97791824569611852</v>
      </c>
      <c r="AH196" s="177">
        <f t="shared" si="90"/>
        <v>0.97332007730826597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0.93505556816952085</v>
      </c>
      <c r="D197" s="177">
        <f t="shared" si="91"/>
        <v>0.98223488825836136</v>
      </c>
      <c r="E197" s="177">
        <f t="shared" si="91"/>
        <v>0.95285681139036082</v>
      </c>
      <c r="F197" s="177">
        <f t="shared" si="91"/>
        <v>0.96672665364633681</v>
      </c>
      <c r="G197" s="177">
        <f t="shared" si="91"/>
        <v>0.96096999234315361</v>
      </c>
      <c r="H197" s="177">
        <f t="shared" si="91"/>
        <v>0.98316396477297208</v>
      </c>
      <c r="I197" s="177">
        <f t="shared" si="91"/>
        <v>0.98516940085915472</v>
      </c>
      <c r="J197" s="177">
        <f t="shared" si="91"/>
        <v>0.98210405084026464</v>
      </c>
      <c r="K197" s="177">
        <f t="shared" si="91"/>
        <v>0.98862914096098931</v>
      </c>
      <c r="L197" s="177">
        <f t="shared" si="91"/>
        <v>0.96756665142119069</v>
      </c>
      <c r="M197" s="177">
        <f t="shared" si="91"/>
        <v>0.97743793176978222</v>
      </c>
      <c r="N197" s="177">
        <f t="shared" si="91"/>
        <v>0.99125728775653765</v>
      </c>
      <c r="O197" s="177">
        <f t="shared" si="91"/>
        <v>0.99154116058766062</v>
      </c>
      <c r="P197" s="177">
        <f t="shared" si="91"/>
        <v>0.99508549882260178</v>
      </c>
      <c r="Q197" s="177">
        <f t="shared" si="91"/>
        <v>0.99519467217428137</v>
      </c>
      <c r="R197" s="177">
        <f t="shared" si="91"/>
        <v>0.99681093569727108</v>
      </c>
      <c r="S197" s="177">
        <f t="shared" si="91"/>
        <v>0.98923520793146047</v>
      </c>
      <c r="T197" s="177">
        <f t="shared" si="91"/>
        <v>0.98607761991283283</v>
      </c>
      <c r="U197" s="177">
        <f t="shared" si="91"/>
        <v>0.99089859851430229</v>
      </c>
      <c r="V197" s="177">
        <f t="shared" si="91"/>
        <v>0.99494574756951193</v>
      </c>
      <c r="W197" s="177">
        <f t="shared" si="91"/>
        <v>0.99103130866532962</v>
      </c>
      <c r="X197" s="177">
        <f t="shared" si="91"/>
        <v>0.99105489434278637</v>
      </c>
      <c r="Y197" s="177">
        <f t="shared" si="91"/>
        <v>0.99472985196505403</v>
      </c>
      <c r="Z197" s="177">
        <f t="shared" si="91"/>
        <v>0.9915096479489911</v>
      </c>
      <c r="AA197" s="177">
        <f t="shared" si="91"/>
        <v>0.99270730136327767</v>
      </c>
      <c r="AB197" s="177">
        <f t="shared" si="91"/>
        <v>0.99263080970752771</v>
      </c>
      <c r="AC197" s="177">
        <f t="shared" si="91"/>
        <v>0.9903402697811784</v>
      </c>
      <c r="AD197" s="177">
        <f t="shared" si="91"/>
        <v>0.99418095415100272</v>
      </c>
      <c r="AE197" s="177">
        <f t="shared" si="91"/>
        <v>0.99008197971678447</v>
      </c>
      <c r="AF197" s="177">
        <f t="shared" si="91"/>
        <v>0.99473348184394139</v>
      </c>
      <c r="AG197" s="177">
        <f t="shared" si="91"/>
        <v>0.99377619556329777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0.98962892206512965</v>
      </c>
      <c r="D198" s="177">
        <f t="shared" si="92"/>
        <v>0.97562169148934541</v>
      </c>
      <c r="E198" s="177">
        <f t="shared" si="92"/>
        <v>0.97222453829123356</v>
      </c>
      <c r="F198" s="177">
        <f t="shared" si="92"/>
        <v>0.98481508176798538</v>
      </c>
      <c r="G198" s="177">
        <f t="shared" si="92"/>
        <v>0.98975659528841275</v>
      </c>
      <c r="H198" s="177">
        <f t="shared" si="92"/>
        <v>0.98973628376974387</v>
      </c>
      <c r="I198" s="177">
        <f t="shared" si="92"/>
        <v>0.99344139879450799</v>
      </c>
      <c r="J198" s="177">
        <f t="shared" si="92"/>
        <v>0.99328493064611545</v>
      </c>
      <c r="K198" s="177">
        <f t="shared" si="92"/>
        <v>0.99150540551035982</v>
      </c>
      <c r="L198" s="177">
        <f t="shared" si="92"/>
        <v>0.98237657328915995</v>
      </c>
      <c r="M198" s="177">
        <f t="shared" si="92"/>
        <v>0.9909404699179547</v>
      </c>
      <c r="N198" s="177">
        <f t="shared" si="92"/>
        <v>0.98907245607755501</v>
      </c>
      <c r="O198" s="177">
        <f t="shared" si="92"/>
        <v>0.99634377005539898</v>
      </c>
      <c r="P198" s="177">
        <f t="shared" si="92"/>
        <v>0.99548797171143977</v>
      </c>
      <c r="Q198" s="177">
        <f t="shared" si="92"/>
        <v>0.99723547514519983</v>
      </c>
      <c r="R198" s="177">
        <f t="shared" si="92"/>
        <v>0.99625467008687385</v>
      </c>
      <c r="S198" s="177">
        <f t="shared" si="92"/>
        <v>0.98892913017873962</v>
      </c>
      <c r="T198" s="177">
        <f t="shared" si="92"/>
        <v>0.9955323501790716</v>
      </c>
      <c r="U198" s="177">
        <f t="shared" si="92"/>
        <v>0.99119291947934274</v>
      </c>
      <c r="V198" s="177">
        <f t="shared" si="92"/>
        <v>0.99193695175664409</v>
      </c>
      <c r="W198" s="177">
        <f t="shared" si="92"/>
        <v>0.99363811577797112</v>
      </c>
      <c r="X198" s="177">
        <f t="shared" si="92"/>
        <v>0.98434134487338676</v>
      </c>
      <c r="Y198" s="177">
        <f t="shared" si="92"/>
        <v>0.99439271306050936</v>
      </c>
      <c r="Z198" s="177">
        <f t="shared" si="92"/>
        <v>0.992607220439788</v>
      </c>
      <c r="AA198" s="177">
        <f t="shared" si="92"/>
        <v>0.99294985646584033</v>
      </c>
      <c r="AB198" s="177">
        <f t="shared" si="92"/>
        <v>0.99155302915161037</v>
      </c>
      <c r="AC198" s="177">
        <f t="shared" si="92"/>
        <v>0.99530495091799043</v>
      </c>
      <c r="AD198" s="177">
        <f t="shared" si="92"/>
        <v>0.98967424944781224</v>
      </c>
      <c r="AE198" s="177">
        <f t="shared" si="92"/>
        <v>0.99466914536096107</v>
      </c>
      <c r="AF198" s="177">
        <f t="shared" si="92"/>
        <v>0.99544992407829946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0.97653485808755758</v>
      </c>
      <c r="D199" s="177">
        <f t="shared" si="93"/>
        <v>0.98493028859539844</v>
      </c>
      <c r="E199" s="177">
        <f t="shared" si="93"/>
        <v>0.98834613920863734</v>
      </c>
      <c r="F199" s="177">
        <f t="shared" si="93"/>
        <v>0.99285555654469992</v>
      </c>
      <c r="G199" s="177">
        <f t="shared" si="93"/>
        <v>0.99422118594788655</v>
      </c>
      <c r="H199" s="177">
        <f t="shared" si="93"/>
        <v>0.99657834733158734</v>
      </c>
      <c r="I199" s="177">
        <f t="shared" si="93"/>
        <v>0.99376266639277777</v>
      </c>
      <c r="J199" s="177">
        <f t="shared" si="93"/>
        <v>0.99574973161331215</v>
      </c>
      <c r="K199" s="177">
        <f t="shared" si="93"/>
        <v>0.98624960403033202</v>
      </c>
      <c r="L199" s="177">
        <f t="shared" si="93"/>
        <v>0.98787572495701115</v>
      </c>
      <c r="M199" s="177">
        <f t="shared" si="93"/>
        <v>0.97306447425434939</v>
      </c>
      <c r="N199" s="177">
        <f t="shared" si="93"/>
        <v>0.99322507200186316</v>
      </c>
      <c r="O199" s="177">
        <f t="shared" si="93"/>
        <v>0.99451402531453592</v>
      </c>
      <c r="P199" s="177">
        <f t="shared" si="93"/>
        <v>0.99406735478548303</v>
      </c>
      <c r="Q199" s="177">
        <f t="shared" si="93"/>
        <v>0.99752656774689852</v>
      </c>
      <c r="R199" s="177">
        <f t="shared" si="93"/>
        <v>0.99061350210987742</v>
      </c>
      <c r="S199" s="177">
        <f t="shared" si="93"/>
        <v>0.99356927906824311</v>
      </c>
      <c r="T199" s="177">
        <f t="shared" si="93"/>
        <v>0.99262732570627132</v>
      </c>
      <c r="U199" s="177">
        <f t="shared" si="93"/>
        <v>0.99662782685835438</v>
      </c>
      <c r="V199" s="177">
        <f t="shared" si="93"/>
        <v>0.9950362452764514</v>
      </c>
      <c r="W199" s="177">
        <f t="shared" si="93"/>
        <v>0.99545505737328155</v>
      </c>
      <c r="X199" s="177">
        <f t="shared" si="93"/>
        <v>0.99220736083574501</v>
      </c>
      <c r="Y199" s="177">
        <f t="shared" si="93"/>
        <v>0.99185993313440191</v>
      </c>
      <c r="Z199" s="177">
        <f t="shared" si="93"/>
        <v>0.99315355261965332</v>
      </c>
      <c r="AA199" s="177">
        <f t="shared" si="93"/>
        <v>0.9931260919730317</v>
      </c>
      <c r="AB199" s="177">
        <f t="shared" si="93"/>
        <v>0.99394151966115629</v>
      </c>
      <c r="AC199" s="177">
        <f t="shared" si="93"/>
        <v>0.99134692667339586</v>
      </c>
      <c r="AD199" s="177">
        <f t="shared" si="93"/>
        <v>0.99441053032240068</v>
      </c>
      <c r="AE199" s="177">
        <f t="shared" si="93"/>
        <v>0.99425322847291953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0.9863158002816117</v>
      </c>
      <c r="D200" s="177">
        <f t="shared" si="94"/>
        <v>0.9960621439092664</v>
      </c>
      <c r="E200" s="177">
        <f t="shared" si="94"/>
        <v>0.9886682376816105</v>
      </c>
      <c r="F200" s="177">
        <f t="shared" si="94"/>
        <v>0.99391234378785642</v>
      </c>
      <c r="G200" s="177">
        <f t="shared" si="94"/>
        <v>0.99812685109052268</v>
      </c>
      <c r="H200" s="177">
        <f t="shared" si="94"/>
        <v>0.99251031522880595</v>
      </c>
      <c r="I200" s="177">
        <f t="shared" si="94"/>
        <v>0.99492482401485016</v>
      </c>
      <c r="J200" s="177">
        <f t="shared" si="94"/>
        <v>0.99272211961069678</v>
      </c>
      <c r="K200" s="177">
        <f t="shared" si="94"/>
        <v>0.9921456253950619</v>
      </c>
      <c r="L200" s="177">
        <f t="shared" si="94"/>
        <v>0.98917860339286723</v>
      </c>
      <c r="M200" s="177">
        <f t="shared" si="94"/>
        <v>0.98709799967455858</v>
      </c>
      <c r="N200" s="177">
        <f t="shared" si="94"/>
        <v>0.99335867703711456</v>
      </c>
      <c r="O200" s="177">
        <f t="shared" si="94"/>
        <v>0.99668745326651076</v>
      </c>
      <c r="P200" s="177">
        <f t="shared" si="94"/>
        <v>0.99522513686627301</v>
      </c>
      <c r="Q200" s="177">
        <f t="shared" si="94"/>
        <v>0.99160305255634584</v>
      </c>
      <c r="R200" s="177">
        <f t="shared" si="94"/>
        <v>0.99288658679646991</v>
      </c>
      <c r="S200" s="177">
        <f t="shared" si="94"/>
        <v>0.99427825272067938</v>
      </c>
      <c r="T200" s="177">
        <f t="shared" si="94"/>
        <v>0.99607453576233529</v>
      </c>
      <c r="U200" s="177">
        <f t="shared" si="94"/>
        <v>0.9960288872059796</v>
      </c>
      <c r="V200" s="177">
        <f t="shared" si="94"/>
        <v>0.99554052619185462</v>
      </c>
      <c r="W200" s="177">
        <f t="shared" si="94"/>
        <v>0.99664625525596318</v>
      </c>
      <c r="X200" s="177">
        <f t="shared" si="94"/>
        <v>0.99258756311570817</v>
      </c>
      <c r="Y200" s="177">
        <f t="shared" si="94"/>
        <v>0.99695002255627951</v>
      </c>
      <c r="Z200" s="177">
        <f t="shared" si="94"/>
        <v>0.99463815164951197</v>
      </c>
      <c r="AA200" s="177">
        <f t="shared" si="94"/>
        <v>0.99400057960432109</v>
      </c>
      <c r="AB200" s="177">
        <f t="shared" si="94"/>
        <v>0.99029400123764322</v>
      </c>
      <c r="AC200" s="177">
        <f t="shared" si="94"/>
        <v>0.99558106016858172</v>
      </c>
      <c r="AD200" s="177">
        <f t="shared" si="94"/>
        <v>0.99595664386414118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0.98781282558238925</v>
      </c>
      <c r="D201" s="177">
        <f t="shared" si="95"/>
        <v>0.99395376563223603</v>
      </c>
      <c r="E201" s="177">
        <f t="shared" si="95"/>
        <v>0.99673147770415349</v>
      </c>
      <c r="F201" s="177">
        <f t="shared" si="95"/>
        <v>0.99883533228439569</v>
      </c>
      <c r="G201" s="177">
        <f t="shared" si="95"/>
        <v>0.99757671923290026</v>
      </c>
      <c r="H201" s="177">
        <f t="shared" si="95"/>
        <v>0.99632093424414758</v>
      </c>
      <c r="I201" s="177">
        <f t="shared" si="95"/>
        <v>0.98473398149390101</v>
      </c>
      <c r="J201" s="177">
        <f t="shared" si="95"/>
        <v>0.9950760441851112</v>
      </c>
      <c r="K201" s="177">
        <f t="shared" si="95"/>
        <v>0.98810520225577281</v>
      </c>
      <c r="L201" s="177">
        <f t="shared" si="95"/>
        <v>0.99441380854771044</v>
      </c>
      <c r="M201" s="177">
        <f t="shared" si="95"/>
        <v>0.99538729123211223</v>
      </c>
      <c r="N201" s="177">
        <f t="shared" si="95"/>
        <v>0.99841454197689505</v>
      </c>
      <c r="O201" s="177">
        <f t="shared" si="95"/>
        <v>0.99672252707499209</v>
      </c>
      <c r="P201" s="177">
        <f t="shared" si="95"/>
        <v>0.99501203842770114</v>
      </c>
      <c r="Q201" s="177">
        <f t="shared" si="95"/>
        <v>0.99381950947824738</v>
      </c>
      <c r="R201" s="177">
        <f t="shared" si="95"/>
        <v>0.99631464138780212</v>
      </c>
      <c r="S201" s="177">
        <f t="shared" si="95"/>
        <v>0.99678558394959627</v>
      </c>
      <c r="T201" s="177">
        <f t="shared" si="95"/>
        <v>0.9987066906810389</v>
      </c>
      <c r="U201" s="177">
        <f t="shared" si="95"/>
        <v>0.9960254141991155</v>
      </c>
      <c r="V201" s="177">
        <f t="shared" si="95"/>
        <v>0.99697241351863808</v>
      </c>
      <c r="W201" s="177">
        <f t="shared" si="95"/>
        <v>0.99483257363975086</v>
      </c>
      <c r="X201" s="177">
        <f t="shared" si="95"/>
        <v>0.99778302973204025</v>
      </c>
      <c r="Y201" s="177">
        <f t="shared" si="95"/>
        <v>0.99617247245073237</v>
      </c>
      <c r="Z201" s="177">
        <f t="shared" si="95"/>
        <v>0.99574394299408187</v>
      </c>
      <c r="AA201" s="177">
        <f t="shared" si="95"/>
        <v>0.99391051180341716</v>
      </c>
      <c r="AB201" s="177">
        <f t="shared" si="95"/>
        <v>0.99589352955682686</v>
      </c>
      <c r="AC201" s="177">
        <f t="shared" si="95"/>
        <v>0.99276298434339849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0.99726099509867439</v>
      </c>
      <c r="D202" s="177">
        <f t="shared" si="96"/>
        <v>0.99703302323028731</v>
      </c>
      <c r="E202" s="177">
        <f t="shared" si="96"/>
        <v>0.99915465498999811</v>
      </c>
      <c r="F202" s="177">
        <f t="shared" si="96"/>
        <v>0.99860677069387183</v>
      </c>
      <c r="G202" s="177">
        <f t="shared" si="96"/>
        <v>0.99710358592051107</v>
      </c>
      <c r="H202" s="177">
        <f t="shared" si="96"/>
        <v>0.99226124210966382</v>
      </c>
      <c r="I202" s="177">
        <f t="shared" si="96"/>
        <v>0.99668088781608788</v>
      </c>
      <c r="J202" s="177">
        <f t="shared" si="96"/>
        <v>0.99641171513735372</v>
      </c>
      <c r="K202" s="177">
        <f t="shared" si="96"/>
        <v>0.99290410698117304</v>
      </c>
      <c r="L202" s="177">
        <f t="shared" si="96"/>
        <v>0.9963160478011579</v>
      </c>
      <c r="M202" s="177">
        <f t="shared" si="96"/>
        <v>0.99863539575586813</v>
      </c>
      <c r="N202" s="177">
        <f t="shared" si="96"/>
        <v>0.99748391005543802</v>
      </c>
      <c r="O202" s="177">
        <f t="shared" si="96"/>
        <v>0.99644761979485708</v>
      </c>
      <c r="P202" s="177">
        <f t="shared" si="96"/>
        <v>0.99429416876079968</v>
      </c>
      <c r="Q202" s="177">
        <f t="shared" si="96"/>
        <v>0.99366434330345965</v>
      </c>
      <c r="R202" s="177">
        <f t="shared" si="96"/>
        <v>0.99866744730380186</v>
      </c>
      <c r="S202" s="177">
        <f t="shared" si="96"/>
        <v>0.99899093377846726</v>
      </c>
      <c r="T202" s="177">
        <f t="shared" si="96"/>
        <v>0.99650490642280376</v>
      </c>
      <c r="U202" s="177">
        <f t="shared" si="96"/>
        <v>0.99373477510936192</v>
      </c>
      <c r="V202" s="177">
        <f t="shared" si="96"/>
        <v>0.99561591375277492</v>
      </c>
      <c r="W202" s="177">
        <f t="shared" si="96"/>
        <v>0.99742904467488003</v>
      </c>
      <c r="X202" s="177">
        <f t="shared" si="96"/>
        <v>0.9954419837486661</v>
      </c>
      <c r="Y202" s="177">
        <f t="shared" si="96"/>
        <v>0.99549225504794525</v>
      </c>
      <c r="Z202" s="177">
        <f t="shared" si="96"/>
        <v>0.99726210883140298</v>
      </c>
      <c r="AA202" s="177">
        <f t="shared" si="96"/>
        <v>0.99677080307170518</v>
      </c>
      <c r="AB202" s="177">
        <f t="shared" si="96"/>
        <v>0.99385978518848472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0.99654734035610282</v>
      </c>
      <c r="D203" s="177">
        <f t="shared" si="97"/>
        <v>0.99800462189355377</v>
      </c>
      <c r="E203" s="177">
        <f t="shared" si="97"/>
        <v>0.99904689388346535</v>
      </c>
      <c r="F203" s="177">
        <f t="shared" si="97"/>
        <v>0.99831887422012211</v>
      </c>
      <c r="G203" s="177">
        <f t="shared" si="97"/>
        <v>0.98672325630359159</v>
      </c>
      <c r="H203" s="177">
        <f t="shared" si="97"/>
        <v>0.99823895225735504</v>
      </c>
      <c r="I203" s="177">
        <f t="shared" si="97"/>
        <v>0.9946687860523421</v>
      </c>
      <c r="J203" s="177">
        <f t="shared" si="97"/>
        <v>0.99645497349232415</v>
      </c>
      <c r="K203" s="177">
        <f t="shared" si="97"/>
        <v>0.9949768343668679</v>
      </c>
      <c r="L203" s="177">
        <f t="shared" si="97"/>
        <v>0.99721907325808334</v>
      </c>
      <c r="M203" s="177">
        <f t="shared" si="97"/>
        <v>0.99775149187018641</v>
      </c>
      <c r="N203" s="177">
        <f t="shared" si="97"/>
        <v>0.99521558835664314</v>
      </c>
      <c r="O203" s="177">
        <f t="shared" si="97"/>
        <v>0.99689393799964066</v>
      </c>
      <c r="P203" s="177">
        <f t="shared" si="97"/>
        <v>0.99558040066104325</v>
      </c>
      <c r="Q203" s="177">
        <f t="shared" si="97"/>
        <v>0.99949214427290667</v>
      </c>
      <c r="R203" s="177">
        <f t="shared" si="97"/>
        <v>0.99877039622484387</v>
      </c>
      <c r="S203" s="177">
        <f t="shared" si="97"/>
        <v>0.99538942131638564</v>
      </c>
      <c r="T203" s="177">
        <f t="shared" si="97"/>
        <v>0.99713308287484326</v>
      </c>
      <c r="U203" s="177">
        <f t="shared" si="97"/>
        <v>0.99652858397580768</v>
      </c>
      <c r="V203" s="177">
        <f t="shared" si="97"/>
        <v>0.99729069907833712</v>
      </c>
      <c r="W203" s="177">
        <f t="shared" si="97"/>
        <v>0.99662118142691281</v>
      </c>
      <c r="X203" s="177">
        <f t="shared" si="97"/>
        <v>0.99478546432992809</v>
      </c>
      <c r="Y203" s="177">
        <f t="shared" si="97"/>
        <v>0.99742035762121006</v>
      </c>
      <c r="Z203" s="177">
        <f t="shared" si="97"/>
        <v>0.99754720220920434</v>
      </c>
      <c r="AA203" s="177">
        <f t="shared" si="97"/>
        <v>0.99675388355990879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0.99899796635230764</v>
      </c>
      <c r="D204" s="177">
        <f t="shared" si="98"/>
        <v>0.99800864881761941</v>
      </c>
      <c r="E204" s="177">
        <f t="shared" si="98"/>
        <v>0.99551214380293573</v>
      </c>
      <c r="F204" s="177">
        <f t="shared" si="98"/>
        <v>0.99349712116924804</v>
      </c>
      <c r="G204" s="177">
        <f t="shared" si="98"/>
        <v>0.99687635670772634</v>
      </c>
      <c r="H204" s="177">
        <f t="shared" si="98"/>
        <v>0.98916267663439794</v>
      </c>
      <c r="I204" s="177">
        <f t="shared" si="98"/>
        <v>0.99535431327774637</v>
      </c>
      <c r="J204" s="177">
        <f t="shared" si="98"/>
        <v>0.9976544584178928</v>
      </c>
      <c r="K204" s="177">
        <f t="shared" si="98"/>
        <v>0.99648036752859681</v>
      </c>
      <c r="L204" s="177">
        <f t="shared" si="98"/>
        <v>0.99497833706739214</v>
      </c>
      <c r="M204" s="177">
        <f t="shared" si="98"/>
        <v>0.99669690499044039</v>
      </c>
      <c r="N204" s="177">
        <f t="shared" si="98"/>
        <v>0.99900503340129432</v>
      </c>
      <c r="O204" s="177">
        <f t="shared" si="98"/>
        <v>0.9951463131161884</v>
      </c>
      <c r="P204" s="177">
        <f t="shared" si="98"/>
        <v>0.99898612286983213</v>
      </c>
      <c r="Q204" s="177">
        <f t="shared" si="98"/>
        <v>0.99941254271347735</v>
      </c>
      <c r="R204" s="177">
        <f t="shared" si="98"/>
        <v>0.99808981163319466</v>
      </c>
      <c r="S204" s="177">
        <f t="shared" si="98"/>
        <v>0.99838074217360229</v>
      </c>
      <c r="T204" s="177">
        <f t="shared" si="98"/>
        <v>0.99645112552509441</v>
      </c>
      <c r="U204" s="177">
        <f t="shared" si="98"/>
        <v>0.99794906090149971</v>
      </c>
      <c r="V204" s="177">
        <f t="shared" si="98"/>
        <v>0.9965016207071169</v>
      </c>
      <c r="W204" s="177">
        <f t="shared" si="98"/>
        <v>0.9976740393587723</v>
      </c>
      <c r="X204" s="177">
        <f t="shared" si="98"/>
        <v>0.99821793643079493</v>
      </c>
      <c r="Y204" s="177">
        <f t="shared" si="98"/>
        <v>0.99702246244473136</v>
      </c>
      <c r="Z204" s="177">
        <f t="shared" si="98"/>
        <v>0.99708435184940425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0.99807412707641907</v>
      </c>
      <c r="D205" s="177">
        <f t="shared" si="99"/>
        <v>0.99650223361321821</v>
      </c>
      <c r="E205" s="177">
        <f t="shared" si="99"/>
        <v>0.98326209365816808</v>
      </c>
      <c r="F205" s="177">
        <f t="shared" si="99"/>
        <v>0.99805711096240113</v>
      </c>
      <c r="G205" s="177">
        <f t="shared" si="99"/>
        <v>0.99350174805157021</v>
      </c>
      <c r="H205" s="177">
        <f t="shared" si="99"/>
        <v>0.98890651289146192</v>
      </c>
      <c r="I205" s="177">
        <f t="shared" si="99"/>
        <v>0.99780134793757269</v>
      </c>
      <c r="J205" s="177">
        <f t="shared" si="99"/>
        <v>0.99864351918886307</v>
      </c>
      <c r="K205" s="177">
        <f t="shared" si="99"/>
        <v>0.99467287950149208</v>
      </c>
      <c r="L205" s="177">
        <f t="shared" si="99"/>
        <v>0.98828271324023076</v>
      </c>
      <c r="M205" s="177">
        <f t="shared" si="99"/>
        <v>0.99578808015218667</v>
      </c>
      <c r="N205" s="177">
        <f t="shared" si="99"/>
        <v>0.99645481212414266</v>
      </c>
      <c r="O205" s="177">
        <f t="shared" si="99"/>
        <v>0.99959528861179059</v>
      </c>
      <c r="P205" s="177">
        <f t="shared" si="99"/>
        <v>0.99981942321552908</v>
      </c>
      <c r="Q205" s="177">
        <f t="shared" si="99"/>
        <v>0.99950640348280473</v>
      </c>
      <c r="R205" s="177">
        <f t="shared" si="99"/>
        <v>0.99648964726903067</v>
      </c>
      <c r="S205" s="177">
        <f t="shared" si="99"/>
        <v>0.99764680958609597</v>
      </c>
      <c r="T205" s="177">
        <f t="shared" si="99"/>
        <v>0.99955533122785378</v>
      </c>
      <c r="U205" s="177">
        <f t="shared" si="99"/>
        <v>0.99665055269959091</v>
      </c>
      <c r="V205" s="177">
        <f t="shared" si="99"/>
        <v>0.99741258643308817</v>
      </c>
      <c r="W205" s="177">
        <f t="shared" si="99"/>
        <v>0.99712479580968727</v>
      </c>
      <c r="X205" s="177">
        <f t="shared" si="99"/>
        <v>0.99766126311545666</v>
      </c>
      <c r="Y205" s="177">
        <f t="shared" si="99"/>
        <v>0.99721293230858765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0.9976262159226611</v>
      </c>
      <c r="D206" s="177">
        <f t="shared" si="100"/>
        <v>0.98491704927211299</v>
      </c>
      <c r="E206" s="177">
        <f t="shared" si="100"/>
        <v>0.99879031768393411</v>
      </c>
      <c r="F206" s="177">
        <f t="shared" si="100"/>
        <v>0.99031991911045392</v>
      </c>
      <c r="G206" s="177">
        <f t="shared" si="100"/>
        <v>0.98779240248923783</v>
      </c>
      <c r="H206" s="177">
        <f t="shared" si="100"/>
        <v>0.99942717041826745</v>
      </c>
      <c r="I206" s="177">
        <f t="shared" si="100"/>
        <v>0.99970681720537291</v>
      </c>
      <c r="J206" s="177">
        <f t="shared" si="100"/>
        <v>0.99741646146363649</v>
      </c>
      <c r="K206" s="177">
        <f t="shared" si="100"/>
        <v>0.99603865441550332</v>
      </c>
      <c r="L206" s="177">
        <f t="shared" si="100"/>
        <v>0.99675461453091441</v>
      </c>
      <c r="M206" s="177">
        <f t="shared" si="100"/>
        <v>0.99507881837334566</v>
      </c>
      <c r="N206" s="177">
        <f t="shared" si="100"/>
        <v>0.99946922451938836</v>
      </c>
      <c r="O206" s="177">
        <f t="shared" si="100"/>
        <v>0.99728129085524109</v>
      </c>
      <c r="P206" s="177">
        <f t="shared" si="100"/>
        <v>0.99948189934571174</v>
      </c>
      <c r="Q206" s="177">
        <f t="shared" si="100"/>
        <v>0.99348917107827039</v>
      </c>
      <c r="R206" s="177">
        <f t="shared" si="100"/>
        <v>0.99983379781250425</v>
      </c>
      <c r="S206" s="177">
        <f t="shared" si="100"/>
        <v>0.99962416582862001</v>
      </c>
      <c r="T206" s="177">
        <f t="shared" si="100"/>
        <v>0.99896009285195075</v>
      </c>
      <c r="U206" s="177">
        <f t="shared" si="100"/>
        <v>0.99502386175662283</v>
      </c>
      <c r="V206" s="177">
        <f t="shared" si="100"/>
        <v>0.9976672653955192</v>
      </c>
      <c r="W206" s="177">
        <f t="shared" si="100"/>
        <v>0.99929405687186557</v>
      </c>
      <c r="X206" s="177">
        <f t="shared" si="100"/>
        <v>0.99691540070652651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0.993681559167506</v>
      </c>
      <c r="D207" s="177">
        <f t="shared" si="101"/>
        <v>0.99882076044627532</v>
      </c>
      <c r="E207" s="177">
        <f t="shared" si="101"/>
        <v>0.99037674970510092</v>
      </c>
      <c r="F207" s="177">
        <f t="shared" si="101"/>
        <v>0.99591918898647602</v>
      </c>
      <c r="G207" s="177">
        <f t="shared" si="101"/>
        <v>0.99970589364673412</v>
      </c>
      <c r="H207" s="177">
        <f t="shared" si="101"/>
        <v>0.99914715665111153</v>
      </c>
      <c r="I207" s="177">
        <f t="shared" si="101"/>
        <v>0.998276550718874</v>
      </c>
      <c r="J207" s="177">
        <f t="shared" si="101"/>
        <v>0.99458885435340416</v>
      </c>
      <c r="K207" s="177">
        <f t="shared" si="101"/>
        <v>0.99955888881405364</v>
      </c>
      <c r="L207" s="177">
        <f t="shared" si="101"/>
        <v>0.99905950499248519</v>
      </c>
      <c r="M207" s="177">
        <f t="shared" si="101"/>
        <v>0.99545143653194512</v>
      </c>
      <c r="N207" s="177">
        <f t="shared" si="101"/>
        <v>0.9997400782322704</v>
      </c>
      <c r="O207" s="177">
        <f t="shared" si="101"/>
        <v>0.9991971578677884</v>
      </c>
      <c r="P207" s="177">
        <f t="shared" si="101"/>
        <v>0.99920463987528652</v>
      </c>
      <c r="Q207" s="177">
        <f t="shared" si="101"/>
        <v>0.99845344805138092</v>
      </c>
      <c r="R207" s="177">
        <f t="shared" si="101"/>
        <v>0.99978093237192645</v>
      </c>
      <c r="S207" s="177">
        <f t="shared" si="101"/>
        <v>0.99893999534438249</v>
      </c>
      <c r="T207" s="177">
        <f t="shared" si="101"/>
        <v>0.9962931402540921</v>
      </c>
      <c r="U207" s="177">
        <f t="shared" si="101"/>
        <v>0.99883516319845977</v>
      </c>
      <c r="V207" s="177">
        <f t="shared" si="101"/>
        <v>0.99987064198132125</v>
      </c>
      <c r="W207" s="177">
        <f t="shared" si="101"/>
        <v>0.99827839611452895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0.99733357035575465</v>
      </c>
      <c r="D208" s="177">
        <f t="shared" si="102"/>
        <v>0.99537148900915817</v>
      </c>
      <c r="E208" s="177">
        <f t="shared" si="102"/>
        <v>0.99206249440823036</v>
      </c>
      <c r="F208" s="177">
        <f t="shared" si="102"/>
        <v>0.99976004552543496</v>
      </c>
      <c r="G208" s="177">
        <f t="shared" si="102"/>
        <v>0.9996391453783251</v>
      </c>
      <c r="H208" s="177">
        <f t="shared" si="102"/>
        <v>0.99969157954707755</v>
      </c>
      <c r="I208" s="177">
        <f t="shared" si="102"/>
        <v>0.99675217912938641</v>
      </c>
      <c r="J208" s="177">
        <f t="shared" si="102"/>
        <v>0.99932001804221327</v>
      </c>
      <c r="K208" s="177">
        <f t="shared" si="102"/>
        <v>0.99978301359069144</v>
      </c>
      <c r="L208" s="177">
        <f t="shared" si="102"/>
        <v>0.99952769422488918</v>
      </c>
      <c r="M208" s="177">
        <f t="shared" si="102"/>
        <v>0.99890631687139086</v>
      </c>
      <c r="N208" s="177">
        <f t="shared" si="102"/>
        <v>0.99788238378072469</v>
      </c>
      <c r="O208" s="177">
        <f t="shared" si="102"/>
        <v>0.99735770573017712</v>
      </c>
      <c r="P208" s="177">
        <f t="shared" si="102"/>
        <v>0.9978427297443675</v>
      </c>
      <c r="Q208" s="177">
        <f t="shared" si="102"/>
        <v>0.99997200105495787</v>
      </c>
      <c r="R208" s="177">
        <f t="shared" si="102"/>
        <v>0.9982779035272199</v>
      </c>
      <c r="S208" s="177">
        <f t="shared" si="102"/>
        <v>0.99901669141588811</v>
      </c>
      <c r="T208" s="177">
        <f t="shared" si="102"/>
        <v>0.99960790426066704</v>
      </c>
      <c r="U208" s="177">
        <f t="shared" si="102"/>
        <v>0.99958786380939169</v>
      </c>
      <c r="V208" s="177">
        <f t="shared" si="102"/>
        <v>0.99992410292337464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0.99427655023075168</v>
      </c>
      <c r="D209" s="177">
        <f t="shared" si="103"/>
        <v>0.98885708832537178</v>
      </c>
      <c r="E209" s="177">
        <f t="shared" si="103"/>
        <v>0.99976202915038059</v>
      </c>
      <c r="F209" s="177">
        <f t="shared" si="103"/>
        <v>0.99998898672028091</v>
      </c>
      <c r="G209" s="177">
        <f t="shared" si="103"/>
        <v>0.99328266582421465</v>
      </c>
      <c r="H209" s="177">
        <f t="shared" si="103"/>
        <v>0.99429793632867269</v>
      </c>
      <c r="I209" s="177">
        <f t="shared" si="103"/>
        <v>0.9992214885263877</v>
      </c>
      <c r="J209" s="177">
        <f t="shared" si="103"/>
        <v>0.99957003733619765</v>
      </c>
      <c r="K209" s="177">
        <f t="shared" si="103"/>
        <v>0.99991040568687128</v>
      </c>
      <c r="L209" s="177">
        <f t="shared" si="103"/>
        <v>0.99972275988677517</v>
      </c>
      <c r="M209" s="177">
        <f t="shared" si="103"/>
        <v>0.99632766534286177</v>
      </c>
      <c r="N209" s="177">
        <f t="shared" si="103"/>
        <v>0.99977491180633116</v>
      </c>
      <c r="O209" s="177">
        <f t="shared" si="103"/>
        <v>0.99742516771377898</v>
      </c>
      <c r="P209" s="177">
        <f t="shared" si="103"/>
        <v>0.99997489875268997</v>
      </c>
      <c r="Q209" s="177">
        <f t="shared" si="103"/>
        <v>0.99927919376256824</v>
      </c>
      <c r="R209" s="177">
        <f t="shared" si="103"/>
        <v>0.99721735256004873</v>
      </c>
      <c r="S209" s="177">
        <f t="shared" si="103"/>
        <v>0.99949013965763012</v>
      </c>
      <c r="T209" s="177">
        <f t="shared" si="103"/>
        <v>0.99980717497942628</v>
      </c>
      <c r="U209" s="177">
        <f t="shared" si="103"/>
        <v>0.99984643634271042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0.98790083140883322</v>
      </c>
      <c r="D210" s="177">
        <f t="shared" si="104"/>
        <v>0.99964465525460711</v>
      </c>
      <c r="E210" s="177">
        <f t="shared" si="104"/>
        <v>0.99973474272843477</v>
      </c>
      <c r="F210" s="177">
        <f t="shared" si="104"/>
        <v>0.99747019001032977</v>
      </c>
      <c r="G210" s="177">
        <f t="shared" si="104"/>
        <v>0.99993008057663335</v>
      </c>
      <c r="H210" s="177">
        <f t="shared" si="104"/>
        <v>0.99964561648859607</v>
      </c>
      <c r="I210" s="177">
        <f t="shared" si="104"/>
        <v>0.99953062398739256</v>
      </c>
      <c r="J210" s="177">
        <f t="shared" si="104"/>
        <v>0.99909806143296531</v>
      </c>
      <c r="K210" s="177">
        <f t="shared" si="104"/>
        <v>0.99977159261404036</v>
      </c>
      <c r="L210" s="177">
        <f t="shared" si="104"/>
        <v>0.99983806288070209</v>
      </c>
      <c r="M210" s="177">
        <f t="shared" si="104"/>
        <v>0.99701775575804441</v>
      </c>
      <c r="N210" s="177">
        <f t="shared" si="104"/>
        <v>0.99834789139621627</v>
      </c>
      <c r="O210" s="177">
        <f t="shared" si="104"/>
        <v>0.99995147503136261</v>
      </c>
      <c r="P210" s="177">
        <f t="shared" si="104"/>
        <v>0.99943726604737382</v>
      </c>
      <c r="Q210" s="177">
        <f t="shared" si="104"/>
        <v>0.9999593770365347</v>
      </c>
      <c r="R210" s="177">
        <f t="shared" si="104"/>
        <v>0.99505080275982671</v>
      </c>
      <c r="S210" s="177">
        <f t="shared" si="104"/>
        <v>0.99963716655586154</v>
      </c>
      <c r="T210" s="177">
        <f t="shared" si="104"/>
        <v>0.99996911674218125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0.99982176647831511</v>
      </c>
      <c r="D211" s="177">
        <f t="shared" si="105"/>
        <v>0.99838250916850002</v>
      </c>
      <c r="E211" s="177">
        <f t="shared" si="105"/>
        <v>1</v>
      </c>
      <c r="F211" s="177">
        <f t="shared" si="105"/>
        <v>0.99559398198445392</v>
      </c>
      <c r="G211" s="177">
        <f t="shared" si="105"/>
        <v>0.99941833391645385</v>
      </c>
      <c r="H211" s="177">
        <f t="shared" si="105"/>
        <v>0.99941079060783422</v>
      </c>
      <c r="I211" s="177">
        <f t="shared" si="105"/>
        <v>1</v>
      </c>
      <c r="J211" s="177">
        <f t="shared" si="105"/>
        <v>0.99990971239963433</v>
      </c>
      <c r="K211" s="177">
        <f t="shared" si="105"/>
        <v>0.99998040014312983</v>
      </c>
      <c r="L211" s="177">
        <f t="shared" si="105"/>
        <v>0.99897747914051371</v>
      </c>
      <c r="M211" s="177">
        <f t="shared" si="105"/>
        <v>0.99838852238892339</v>
      </c>
      <c r="N211" s="177">
        <f t="shared" si="105"/>
        <v>0.99979801363832477</v>
      </c>
      <c r="O211" s="177">
        <f t="shared" si="105"/>
        <v>0.99872517942839556</v>
      </c>
      <c r="P211" s="177">
        <f t="shared" si="105"/>
        <v>0.99863644428938425</v>
      </c>
      <c r="Q211" s="177">
        <f t="shared" si="105"/>
        <v>0.99963942653499538</v>
      </c>
      <c r="R211" s="177">
        <f t="shared" si="105"/>
        <v>0.99968754115049696</v>
      </c>
      <c r="S211" s="177">
        <f t="shared" si="105"/>
        <v>0.99988779795408644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0.99956592549747136</v>
      </c>
      <c r="D212" s="177">
        <f t="shared" si="106"/>
        <v>0.99639223634947094</v>
      </c>
      <c r="E212" s="177">
        <f t="shared" si="106"/>
        <v>0.99792071356814438</v>
      </c>
      <c r="F212" s="177">
        <f t="shared" si="106"/>
        <v>0.9993900457499435</v>
      </c>
      <c r="G212" s="177">
        <f t="shared" si="106"/>
        <v>0.99976803876012965</v>
      </c>
      <c r="H212" s="177">
        <f t="shared" si="106"/>
        <v>1</v>
      </c>
      <c r="I212" s="177">
        <f t="shared" si="106"/>
        <v>0.99995165617040749</v>
      </c>
      <c r="J212" s="177">
        <f t="shared" si="106"/>
        <v>1</v>
      </c>
      <c r="K212" s="177">
        <f t="shared" si="106"/>
        <v>1</v>
      </c>
      <c r="L212" s="177">
        <f t="shared" si="106"/>
        <v>0.99839865655641358</v>
      </c>
      <c r="M212" s="177">
        <f t="shared" si="106"/>
        <v>0.99970644377072226</v>
      </c>
      <c r="N212" s="177">
        <f t="shared" si="106"/>
        <v>0.99949904352848584</v>
      </c>
      <c r="O212" s="177">
        <f t="shared" si="106"/>
        <v>0.99806444262980121</v>
      </c>
      <c r="P212" s="177">
        <f t="shared" si="106"/>
        <v>0.99962949805918422</v>
      </c>
      <c r="Q212" s="177">
        <f t="shared" si="106"/>
        <v>0.99987974608268093</v>
      </c>
      <c r="R212" s="177">
        <f t="shared" si="106"/>
        <v>0.99979925788442714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0.99899798588637312</v>
      </c>
      <c r="D213" s="177">
        <f t="shared" si="107"/>
        <v>0.99464573513601362</v>
      </c>
      <c r="E213" s="177">
        <f t="shared" si="107"/>
        <v>0.99968534103817563</v>
      </c>
      <c r="F213" s="177">
        <f t="shared" si="107"/>
        <v>0.99796214604391043</v>
      </c>
      <c r="G213" s="177">
        <f t="shared" si="107"/>
        <v>0.99999070497040854</v>
      </c>
      <c r="H213" s="177">
        <f t="shared" si="107"/>
        <v>0.999941863968966</v>
      </c>
      <c r="I213" s="177">
        <f t="shared" si="107"/>
        <v>0.99884188854020661</v>
      </c>
      <c r="J213" s="177">
        <f t="shared" si="107"/>
        <v>1</v>
      </c>
      <c r="K213" s="177">
        <f t="shared" si="107"/>
        <v>0.99928727771582515</v>
      </c>
      <c r="L213" s="177">
        <f t="shared" si="107"/>
        <v>0.99991223948025876</v>
      </c>
      <c r="M213" s="177">
        <f t="shared" si="107"/>
        <v>0.99970668739274027</v>
      </c>
      <c r="N213" s="177">
        <f t="shared" si="107"/>
        <v>0.99819066969949044</v>
      </c>
      <c r="O213" s="177">
        <f t="shared" si="107"/>
        <v>0.99985317612975977</v>
      </c>
      <c r="P213" s="177">
        <f t="shared" si="107"/>
        <v>0.99996471451946123</v>
      </c>
      <c r="Q213" s="177">
        <f t="shared" si="107"/>
        <v>0.99978765346000009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0.99952378075034143</v>
      </c>
      <c r="D214" s="177">
        <f t="shared" si="108"/>
        <v>0.99996227575239716</v>
      </c>
      <c r="E214" s="177">
        <f t="shared" si="108"/>
        <v>0.99805091919958622</v>
      </c>
      <c r="F214" s="177">
        <f t="shared" si="108"/>
        <v>1</v>
      </c>
      <c r="G214" s="177">
        <f t="shared" si="108"/>
        <v>0.99992284743395621</v>
      </c>
      <c r="H214" s="177">
        <f t="shared" si="108"/>
        <v>0.99994911766044914</v>
      </c>
      <c r="I214" s="177">
        <f t="shared" si="108"/>
        <v>0.9999291184724185</v>
      </c>
      <c r="J214" s="177">
        <f t="shared" si="108"/>
        <v>0.99982118607820325</v>
      </c>
      <c r="K214" s="177">
        <f t="shared" si="108"/>
        <v>1</v>
      </c>
      <c r="L214" s="177">
        <f t="shared" si="108"/>
        <v>0.99943743320259204</v>
      </c>
      <c r="M214" s="177">
        <f t="shared" si="108"/>
        <v>0.9999728424142742</v>
      </c>
      <c r="N214" s="177">
        <f t="shared" si="108"/>
        <v>0.99886504703012358</v>
      </c>
      <c r="O214" s="177">
        <f t="shared" si="108"/>
        <v>0.99962600837903748</v>
      </c>
      <c r="P214" s="177">
        <f t="shared" si="108"/>
        <v>1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0.99994070588810102</v>
      </c>
      <c r="D215" s="177">
        <f t="shared" si="109"/>
        <v>0.99771637757630693</v>
      </c>
      <c r="E215" s="177">
        <f t="shared" si="109"/>
        <v>0.99836811055056707</v>
      </c>
      <c r="F215" s="177">
        <f t="shared" si="109"/>
        <v>0.99991819616188993</v>
      </c>
      <c r="G215" s="177">
        <f t="shared" si="109"/>
        <v>0.99875510826289438</v>
      </c>
      <c r="H215" s="177">
        <f t="shared" si="109"/>
        <v>0.99998676577839907</v>
      </c>
      <c r="I215" s="177">
        <f t="shared" si="109"/>
        <v>0.99995086336097228</v>
      </c>
      <c r="J215" s="177">
        <f t="shared" si="109"/>
        <v>1</v>
      </c>
      <c r="K215" s="177">
        <f t="shared" si="109"/>
        <v>0.9994109518458052</v>
      </c>
      <c r="L215" s="177">
        <f t="shared" si="109"/>
        <v>0.99987754861854916</v>
      </c>
      <c r="M215" s="177">
        <f t="shared" si="109"/>
        <v>0.99846078876432964</v>
      </c>
      <c r="N215" s="177">
        <f t="shared" si="109"/>
        <v>0.99977641572353171</v>
      </c>
      <c r="O215" s="177">
        <f t="shared" si="109"/>
        <v>0.99980865498019866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0.99991604065790274</v>
      </c>
      <c r="D216" s="177">
        <f t="shared" si="110"/>
        <v>0.99825251933764336</v>
      </c>
      <c r="E216" s="177">
        <f t="shared" si="110"/>
        <v>1</v>
      </c>
      <c r="F216" s="177">
        <f t="shared" si="110"/>
        <v>0.99998691155721198</v>
      </c>
      <c r="G216" s="177">
        <f t="shared" si="110"/>
        <v>0.99999130296314365</v>
      </c>
      <c r="H216" s="177">
        <f t="shared" si="110"/>
        <v>0.99995721134738402</v>
      </c>
      <c r="I216" s="177">
        <f t="shared" si="110"/>
        <v>0.99951786836039247</v>
      </c>
      <c r="J216" s="177">
        <f t="shared" si="110"/>
        <v>0.9988520568842959</v>
      </c>
      <c r="K216" s="177">
        <f t="shared" si="110"/>
        <v>0.999838966850771</v>
      </c>
      <c r="L216" s="177">
        <f t="shared" si="110"/>
        <v>0.99322679403133107</v>
      </c>
      <c r="M216" s="177">
        <f t="shared" si="110"/>
        <v>0.99884831053097245</v>
      </c>
      <c r="N216" s="177">
        <f t="shared" si="110"/>
        <v>1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0.99826879510998368</v>
      </c>
      <c r="D217" s="177">
        <f t="shared" si="111"/>
        <v>0.99983685374722886</v>
      </c>
      <c r="E217" s="177">
        <f t="shared" si="111"/>
        <v>0.99861547016399643</v>
      </c>
      <c r="F217" s="177">
        <f t="shared" si="111"/>
        <v>1</v>
      </c>
      <c r="G217" s="177">
        <f t="shared" si="111"/>
        <v>0.99996418058727043</v>
      </c>
      <c r="H217" s="177">
        <f t="shared" si="111"/>
        <v>0.9998280743493243</v>
      </c>
      <c r="I217" s="177">
        <f t="shared" si="111"/>
        <v>0.99995270864345109</v>
      </c>
      <c r="J217" s="177">
        <f t="shared" si="111"/>
        <v>0.99979409708318367</v>
      </c>
      <c r="K217" s="177">
        <f t="shared" si="111"/>
        <v>1</v>
      </c>
      <c r="L217" s="177">
        <f t="shared" si="111"/>
        <v>0.99955313181217542</v>
      </c>
      <c r="M217" s="177">
        <f t="shared" si="111"/>
        <v>1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0.99961241365390174</v>
      </c>
      <c r="D218" s="177">
        <f t="shared" si="112"/>
        <v>1</v>
      </c>
      <c r="E218" s="177">
        <f t="shared" si="112"/>
        <v>1</v>
      </c>
      <c r="F218" s="177">
        <f t="shared" si="112"/>
        <v>0.99996879867129829</v>
      </c>
      <c r="G218" s="177">
        <f t="shared" si="112"/>
        <v>1</v>
      </c>
      <c r="H218" s="177">
        <f t="shared" si="112"/>
        <v>0.99982349472457066</v>
      </c>
      <c r="I218" s="177">
        <f t="shared" si="112"/>
        <v>1</v>
      </c>
      <c r="J218" s="177">
        <f t="shared" si="112"/>
        <v>1.0005491840324896</v>
      </c>
      <c r="K218" s="177">
        <f t="shared" si="112"/>
        <v>0.99977479274797443</v>
      </c>
      <c r="L218" s="177">
        <f t="shared" si="112"/>
        <v>0.99982104524081938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0.99992806525381595</v>
      </c>
      <c r="D219" s="177">
        <f t="shared" si="113"/>
        <v>1</v>
      </c>
      <c r="E219" s="177">
        <f t="shared" si="113"/>
        <v>0.99998767981852643</v>
      </c>
      <c r="F219" s="177">
        <f t="shared" si="113"/>
        <v>1</v>
      </c>
      <c r="G219" s="177">
        <f t="shared" si="113"/>
        <v>0.99984497267425099</v>
      </c>
      <c r="H219" s="177">
        <f t="shared" si="113"/>
        <v>1</v>
      </c>
      <c r="I219" s="177">
        <f t="shared" si="113"/>
        <v>1.0018484416904379</v>
      </c>
      <c r="J219" s="177">
        <f t="shared" si="113"/>
        <v>0.99967662208828612</v>
      </c>
      <c r="K219" s="177">
        <f t="shared" si="113"/>
        <v>1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1</v>
      </c>
      <c r="D220" s="177">
        <f t="shared" si="114"/>
        <v>0.99998664981209917</v>
      </c>
      <c r="E220" s="177">
        <f t="shared" si="114"/>
        <v>0.99995880764043688</v>
      </c>
      <c r="F220" s="177">
        <f t="shared" si="114"/>
        <v>0.99977823154894929</v>
      </c>
      <c r="G220" s="177">
        <f t="shared" si="114"/>
        <v>0.9989603972871095</v>
      </c>
      <c r="H220" s="177">
        <f t="shared" si="114"/>
        <v>1</v>
      </c>
      <c r="I220" s="177">
        <f t="shared" si="114"/>
        <v>0.99950974689570582</v>
      </c>
      <c r="J220" s="177">
        <f t="shared" si="114"/>
        <v>1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0.99994859912973877</v>
      </c>
      <c r="D221" s="177">
        <f t="shared" si="115"/>
        <v>1</v>
      </c>
      <c r="E221" s="177">
        <f t="shared" si="115"/>
        <v>0.99897358828170635</v>
      </c>
      <c r="F221" s="177">
        <f t="shared" si="115"/>
        <v>1</v>
      </c>
      <c r="G221" s="177">
        <f t="shared" si="115"/>
        <v>1.0000356598921927</v>
      </c>
      <c r="H221" s="177">
        <f t="shared" si="115"/>
        <v>0.99906969212155206</v>
      </c>
      <c r="I221" s="177">
        <f t="shared" si="115"/>
        <v>0.99988748042584963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1</v>
      </c>
      <c r="D222" s="177">
        <f t="shared" si="116"/>
        <v>0.99924582365549197</v>
      </c>
      <c r="E222" s="177">
        <f t="shared" si="116"/>
        <v>1</v>
      </c>
      <c r="F222" s="177">
        <f t="shared" si="116"/>
        <v>0.99988057699608812</v>
      </c>
      <c r="G222" s="177">
        <f t="shared" si="116"/>
        <v>0.99932967423858521</v>
      </c>
      <c r="H222" s="177">
        <f t="shared" si="116"/>
        <v>1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1</v>
      </c>
      <c r="D223" s="177">
        <f t="shared" si="117"/>
        <v>1</v>
      </c>
      <c r="E223" s="177">
        <f t="shared" si="117"/>
        <v>0.999969208596591</v>
      </c>
      <c r="F223" s="177">
        <f t="shared" si="117"/>
        <v>0.99872313062616758</v>
      </c>
      <c r="G223" s="177">
        <f t="shared" si="117"/>
        <v>1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1</v>
      </c>
      <c r="D224" s="177">
        <f t="shared" si="118"/>
        <v>0.99995423682979823</v>
      </c>
      <c r="E224" s="177">
        <f t="shared" si="118"/>
        <v>0.99836509442963617</v>
      </c>
      <c r="F224" s="177">
        <f t="shared" si="118"/>
        <v>0.99998625275997277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1</v>
      </c>
      <c r="D225" s="177">
        <f t="shared" si="119"/>
        <v>0.99981166489775919</v>
      </c>
      <c r="E225" s="177">
        <f t="shared" si="119"/>
        <v>1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0.9999701269834792</v>
      </c>
      <c r="D226" s="177">
        <f t="shared" si="120"/>
        <v>1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1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Allied Pacific (APC Medicare)</v>
      </c>
      <c r="K230" s="7" t="s">
        <v>478</v>
      </c>
      <c r="L230" s="7"/>
      <c r="M230" s="7">
        <f>+Numbmos</f>
        <v>36</v>
      </c>
      <c r="V230" s="3" t="str">
        <f>+$C$1</f>
        <v>Allied Pacific (APC Medicare)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0.30118728075497292</v>
      </c>
      <c r="D236" s="589">
        <f>IF(SUM(AF193:AK193)=0,1,AVERAGEIF(AF193:AK193,"&lt;&gt;0"))</f>
        <v>0.28305088127981543</v>
      </c>
      <c r="E236" s="589">
        <f>IF(SUM(Z193:AK193)=0,1,AVERAGEIF(Z193:AK193,"&lt;&gt;0"))</f>
        <v>0.2762195171157466</v>
      </c>
      <c r="F236" s="589">
        <f>IF(SUM($C193:AK193)=0,1,AVERAGEIF($C193:AK193,"&lt;&gt;0"))</f>
        <v>0.29007019491637093</v>
      </c>
      <c r="G236" s="589">
        <f>IF(SUM(AF193:AH193)=0,1,AVERAGEIF(AF193:AH193,"&lt;&gt;0"))</f>
        <v>0.26491448180465804</v>
      </c>
      <c r="H236" s="589">
        <f>IF(SUM(AC193:AE193)=0,1,AVERAGEIF(AC193:AE193,"&lt;&gt;0"))</f>
        <v>0.26471821043772409</v>
      </c>
      <c r="I236" s="589">
        <f>IF(SUM(Z193:AB193)=0,1,AVERAGEIF(Z193:AB193,"&lt;&gt;0"))</f>
        <v>0.27405809546563159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0.38811206689081429</v>
      </c>
      <c r="N236" s="589">
        <f>IF(SUM(AF193:AK193)=0,0,SMALL(AF193:AK193,COUNTIF(AF193:AK193,0)+1))</f>
        <v>0.19822334669427166</v>
      </c>
      <c r="O236" s="589">
        <f t="shared" ref="O236:O270" si="122">IF(K236&lt;3,D236,(K236*D236-M236-N236)/L236)</f>
        <v>0.27799246852345172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0.38811206689081429</v>
      </c>
      <c r="T236" s="589">
        <f>IF(SUM(Z193:AK193)=0,0,SMALL(Z193:AK193,COUNTIF(Z193:AK193,0)+1))</f>
        <v>0.19822334669427166</v>
      </c>
      <c r="U236" s="317">
        <f t="shared" ref="U236:U270" si="124">IF(Q236&lt;3,E236,(Q236*E236-S236-T236)/R236)</f>
        <v>0.27282987918038731</v>
      </c>
      <c r="V236" s="252" t="s">
        <v>979</v>
      </c>
      <c r="W236" s="7"/>
      <c r="X236" s="14">
        <f t="shared" ref="X236:X257" si="125">IF((C236&gt;C237),MIN((C236^2*C237)^(1/3),1),MIN(C236,1))</f>
        <v>0.30118728075497292</v>
      </c>
      <c r="Y236" s="14">
        <f t="shared" ref="Y236:Y257" si="126">IF((D236&gt;D237),MIN((D236^2*D237)^(1/3),1),MIN(D236,1))</f>
        <v>0.28305088127981543</v>
      </c>
      <c r="Z236" s="14">
        <f t="shared" ref="Z236:Z257" si="127">IF((E236&gt;E237),MIN((E236^2*E237)^(1/3),1),MIN(E236,1))</f>
        <v>0.2762195171157466</v>
      </c>
      <c r="AA236" s="14">
        <f t="shared" ref="AA236:AA257" si="128">IF((F236&gt;F237),MIN((F236^2*F237)^(1/3),1),MIN(F236,1))</f>
        <v>0.29007019491637093</v>
      </c>
      <c r="AB236" s="14">
        <f t="shared" ref="AB236:AB257" si="129">IF((O236&gt;O237),MIN((O236^2*O237)^(1/3),1),MIN(O236,1))</f>
        <v>0.27799246852345172</v>
      </c>
      <c r="AC236" s="14">
        <f t="shared" ref="AC236:AC257" si="130">IF((U236&gt;U237),MIN((U236^2*U237)^(1/3),1),MIN(U236,1))</f>
        <v>0.27282987918038731</v>
      </c>
      <c r="AD236" s="14">
        <f t="shared" ref="AD236:AD257" si="131">IF((G236&gt;G237),MIN((G236^2*G237)^(1/3),1),MIN(G236,1))</f>
        <v>0.26491448180465804</v>
      </c>
      <c r="AE236" s="14">
        <f t="shared" ref="AE236:AE257" si="132">IF((H236&gt;H237),MIN((H236^2*H237)^(1/3),1),MIN(H236,1))</f>
        <v>0.26471821043772409</v>
      </c>
      <c r="AF236" s="14">
        <f t="shared" ref="AF236:AF257" si="133">IF((I236&gt;I237),MIN((I236^2*I237)^(1/3),1),MIN(I236,1))</f>
        <v>0.27405809546563159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0.72305663554624022</v>
      </c>
      <c r="D237" s="589">
        <f>IF(SUM(AE194:AJ194)=0,1,AVERAGEIF(AE194:AJ194,"&lt;&gt;0"))</f>
        <v>0.75211249670285085</v>
      </c>
      <c r="E237" s="589">
        <f>IF(SUM(Y194:AJ194)=0,1,AVERAGEIF(Y194:AJ194,"&lt;&gt;0"))</f>
        <v>0.76858081058266736</v>
      </c>
      <c r="F237" s="589">
        <f>IF(SUM($C194:AJ194)=0,1,AVERAGEIF($C194:AJ194,"&lt;&gt;0"))</f>
        <v>0.77185476706906919</v>
      </c>
      <c r="G237" s="589">
        <f>IF(SUM(AE194:AG194)=0,1,AVERAGEIF(AE194:AG194,"&lt;&gt;0"))</f>
        <v>0.7811683578594617</v>
      </c>
      <c r="H237" s="589">
        <f>IF(SUM(AB194:AD194)=0,1,AVERAGEIF(AB194:AD194,"&lt;&gt;0"))</f>
        <v>0.77438856119198329</v>
      </c>
      <c r="I237" s="589">
        <f>IF(SUM(Y194:AA194)=0,1,AVERAGEIF(Y194:AA194,"&lt;&gt;0"))</f>
        <v>0.79570968773298423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0.78500482913454828</v>
      </c>
      <c r="N237" s="589">
        <f>IF(SUM(AE194:AJ194)=0,0,SMALL(AE194:AJ194,COUNTIF(AE194:AJ194,0)+1))</f>
        <v>0.65593826907332298</v>
      </c>
      <c r="O237" s="589">
        <f t="shared" si="122"/>
        <v>0.76793297050230847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0.82582009715331839</v>
      </c>
      <c r="T237" s="589">
        <f>IF(SUM(Y194:AJ194)=0,0,SMALL(Y194:AJ194,COUNTIF(Y194:AJ194,0)+1))</f>
        <v>0.65593826907332298</v>
      </c>
      <c r="U237" s="317">
        <f t="shared" si="124"/>
        <v>0.77412113607653676</v>
      </c>
      <c r="V237" s="568" t="s">
        <v>980</v>
      </c>
      <c r="W237" s="7"/>
      <c r="X237" s="14">
        <f t="shared" si="125"/>
        <v>0.72305663554624022</v>
      </c>
      <c r="Y237" s="14">
        <f t="shared" si="126"/>
        <v>0.75211249670285085</v>
      </c>
      <c r="Z237" s="14">
        <f t="shared" si="127"/>
        <v>0.76858081058266736</v>
      </c>
      <c r="AA237" s="14">
        <f t="shared" si="128"/>
        <v>0.77185476706906919</v>
      </c>
      <c r="AB237" s="14">
        <f t="shared" si="129"/>
        <v>0.76793297050230847</v>
      </c>
      <c r="AC237" s="14">
        <f t="shared" si="130"/>
        <v>0.77412113607653676</v>
      </c>
      <c r="AD237" s="14">
        <f t="shared" si="131"/>
        <v>0.7811683578594617</v>
      </c>
      <c r="AE237" s="14">
        <f t="shared" si="132"/>
        <v>0.77438856119198329</v>
      </c>
      <c r="AF237" s="14">
        <f t="shared" si="133"/>
        <v>0.79570968773298423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0.93393223358645028</v>
      </c>
      <c r="D238" s="589">
        <f>IF(SUM(AD195:AI195)=0,1,AVERAGEIF(AD195:AI195,"&lt;&gt;0"))</f>
        <v>0.93083865966305568</v>
      </c>
      <c r="E238" s="589">
        <f>IF(SUM(X195:AI195)=0,1,AVERAGEIF(X195:AI195,"&lt;&gt;0"))</f>
        <v>0.93547859648753262</v>
      </c>
      <c r="F238" s="589">
        <f>IF(SUM($C195:AI195)=0,1,AVERAGEIF($C195:AI195,"&lt;&gt;0"))</f>
        <v>0.91749049196853283</v>
      </c>
      <c r="G238" s="589">
        <f>IF(SUM(AD195:AF195)=0,1,AVERAGEIF(AD195:AF195,"&lt;&gt;0"))</f>
        <v>0.92774508573966097</v>
      </c>
      <c r="H238" s="589">
        <f>IF(SUM(AA195:AC195)=0,1,AVERAGEIF(AA195:AC195,"&lt;&gt;0"))</f>
        <v>0.94005758006083118</v>
      </c>
      <c r="I238" s="589">
        <f>IF(SUM(X195:Z195)=0,1,AVERAGEIF(X195:Z195,"&lt;&gt;0"))</f>
        <v>0.94017948656318751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0.94502278047748134</v>
      </c>
      <c r="N238" s="589">
        <f>IF(SUM(AD195:AI195)=0,0,SMALL(AD195:AI195,COUNTIF(AD195:AI195,0)+1))</f>
        <v>0.92332800882602351</v>
      </c>
      <c r="O238" s="589">
        <f t="shared" si="122"/>
        <v>0.92917029216870717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0.94872739384300875</v>
      </c>
      <c r="T238" s="589">
        <f>IF(SUM(X195:AI195)=0,0,SMALL(X195:AI195,COUNTIF(X195:AI195,0)+1))</f>
        <v>0.92332800882602351</v>
      </c>
      <c r="U238" s="317">
        <f t="shared" si="124"/>
        <v>0.93536877551813602</v>
      </c>
      <c r="V238" s="568" t="s">
        <v>981</v>
      </c>
      <c r="W238" s="7"/>
      <c r="X238" s="14">
        <f t="shared" si="125"/>
        <v>0.93393223358645028</v>
      </c>
      <c r="Y238" s="14">
        <f t="shared" si="126"/>
        <v>0.93083865966305568</v>
      </c>
      <c r="Z238" s="14">
        <f t="shared" si="127"/>
        <v>0.93547859648753262</v>
      </c>
      <c r="AA238" s="14">
        <f t="shared" si="128"/>
        <v>0.91749049196853283</v>
      </c>
      <c r="AB238" s="14">
        <f t="shared" si="129"/>
        <v>0.92917029216870717</v>
      </c>
      <c r="AC238" s="14">
        <f t="shared" si="130"/>
        <v>0.93536877551813602</v>
      </c>
      <c r="AD238" s="14">
        <f t="shared" si="131"/>
        <v>0.92774508573966097</v>
      </c>
      <c r="AE238" s="14">
        <f t="shared" si="132"/>
        <v>0.94005758006083118</v>
      </c>
      <c r="AF238" s="14">
        <f t="shared" si="133"/>
        <v>0.94017948656318751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0.97487302814590426</v>
      </c>
      <c r="D239" s="589">
        <f>IF(SUM(AC196:AH196)=0,1,AVERAGEIF(AC196:AH196,"&lt;&gt;0"))</f>
        <v>0.97679779474605211</v>
      </c>
      <c r="E239" s="589">
        <f>IF(SUM(W196:AH196)=0,1,AVERAGEIF(W196:AH196,"&lt;&gt;0"))</f>
        <v>0.97935288468814152</v>
      </c>
      <c r="F239" s="589">
        <f>IF(SUM($C196:AH196)=0,1,AVERAGEIF($C196:AH196,"&lt;&gt;0"))</f>
        <v>0.96734648706741344</v>
      </c>
      <c r="G239" s="589">
        <f>IF(SUM(AC196:AE196)=0,1,AVERAGEIF(AC196:AE196,"&lt;&gt;0"))</f>
        <v>0.97872256134620006</v>
      </c>
      <c r="H239" s="589">
        <f>IF(SUM(Z196:AB196)=0,1,AVERAGEIF(Z196:AB196,"&lt;&gt;0"))</f>
        <v>0.98115808219670109</v>
      </c>
      <c r="I239" s="589">
        <f>IF(SUM(W196:Y196)=0,1,AVERAGEIF(W196:Y196,"&lt;&gt;0"))</f>
        <v>0.9826578670637609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0.98426618891436168</v>
      </c>
      <c r="N239" s="589">
        <f>IF(SUM(AC196:AH196)=0,0,SMALL(AC196:AH196,COUNTIF(AC196:AH196,0)+1))</f>
        <v>0.97332007730826597</v>
      </c>
      <c r="O239" s="589">
        <f t="shared" si="122"/>
        <v>0.97580012556342144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0.98755184945077512</v>
      </c>
      <c r="T239" s="589">
        <f>IF(SUM(W196:AH196)=0,0,SMALL(W196:AH196,COUNTIF(W196:AH196,0)+1))</f>
        <v>0.97332007730826597</v>
      </c>
      <c r="U239" s="317">
        <f t="shared" si="124"/>
        <v>0.97913626894986583</v>
      </c>
      <c r="V239" s="568" t="s">
        <v>982</v>
      </c>
      <c r="W239" s="7"/>
      <c r="X239" s="14">
        <f t="shared" si="125"/>
        <v>0.97487302814590426</v>
      </c>
      <c r="Y239" s="14">
        <f t="shared" si="126"/>
        <v>0.97679779474605211</v>
      </c>
      <c r="Z239" s="14">
        <f t="shared" si="127"/>
        <v>0.97935288468814152</v>
      </c>
      <c r="AA239" s="14">
        <f t="shared" si="128"/>
        <v>0.96734648706741344</v>
      </c>
      <c r="AB239" s="14">
        <f t="shared" si="129"/>
        <v>0.97580012556342144</v>
      </c>
      <c r="AC239" s="14">
        <f t="shared" si="130"/>
        <v>0.97913626894986583</v>
      </c>
      <c r="AD239" s="14">
        <f t="shared" si="131"/>
        <v>0.97872256134620006</v>
      </c>
      <c r="AE239" s="14">
        <f t="shared" si="132"/>
        <v>0.98115808219670109</v>
      </c>
      <c r="AF239" s="14">
        <f t="shared" si="133"/>
        <v>0.9826578670637609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0.99286388570800777</v>
      </c>
      <c r="D240" s="589">
        <f>IF(SUM(AB197:AG197)=0,1,AVERAGEIF(AB197:AG197,"&lt;&gt;0"))</f>
        <v>0.99262394846062207</v>
      </c>
      <c r="E240" s="589">
        <f>IF(SUM(V197:AG197)=0,1,AVERAGEIF(V197:AG197,"&lt;&gt;0"))</f>
        <v>0.99264353688489015</v>
      </c>
      <c r="F240" s="589">
        <f>IF(SUM($C197:AG197)=0,1,AVERAGEIF($C197:AG197,"&lt;&gt;0"))</f>
        <v>0.98483027349831365</v>
      </c>
      <c r="G240" s="589">
        <f>IF(SUM(AB197:AD197)=0,1,AVERAGEIF(AB197:AD197,"&lt;&gt;0"))</f>
        <v>0.99238401121323638</v>
      </c>
      <c r="H240" s="589">
        <f>IF(SUM(Y197:AA197)=0,1,AVERAGEIF(Y197:AA197,"&lt;&gt;0"))</f>
        <v>0.99298226709244097</v>
      </c>
      <c r="I240" s="589">
        <f>IF(SUM(V197:X197)=0,1,AVERAGEIF(V197:X197,"&lt;&gt;0"))</f>
        <v>0.99234398352587594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0.99473348184394139</v>
      </c>
      <c r="N240" s="589">
        <f>IF(SUM(AB197:AG197)=0,0,SMALL(AB197:AG197,COUNTIF(AB197:AG197,0)+1))</f>
        <v>0.99008197971678447</v>
      </c>
      <c r="O240" s="589">
        <f t="shared" si="122"/>
        <v>0.99273205730075154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0.99494574756951193</v>
      </c>
      <c r="T240" s="589">
        <f>IF(SUM(V197:AG197)=0,0,SMALL(V197:AG197,COUNTIF(V197:AG197,0)+1))</f>
        <v>0.99008197971678447</v>
      </c>
      <c r="U240" s="317">
        <f t="shared" si="124"/>
        <v>0.9926694715332387</v>
      </c>
      <c r="V240" s="568" t="s">
        <v>983</v>
      </c>
      <c r="W240" s="7"/>
      <c r="X240" s="567">
        <f t="shared" si="125"/>
        <v>0.99286388570800777</v>
      </c>
      <c r="Y240" s="14">
        <f t="shared" si="126"/>
        <v>0.99262394846062207</v>
      </c>
      <c r="Z240" s="14">
        <f t="shared" si="127"/>
        <v>0.99253207932026799</v>
      </c>
      <c r="AA240" s="14">
        <f t="shared" si="128"/>
        <v>0.98483027349831365</v>
      </c>
      <c r="AB240" s="14">
        <f t="shared" si="129"/>
        <v>0.99273205730075154</v>
      </c>
      <c r="AC240" s="14">
        <f t="shared" si="130"/>
        <v>0.9926694715332387</v>
      </c>
      <c r="AD240" s="14">
        <f t="shared" si="131"/>
        <v>0.99238401121323638</v>
      </c>
      <c r="AE240" s="14">
        <f t="shared" si="132"/>
        <v>0.99213648880010075</v>
      </c>
      <c r="AF240" s="14">
        <f t="shared" si="133"/>
        <v>0.99231465337413749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0.99326443962902422</v>
      </c>
      <c r="D241" s="589">
        <f>IF(SUM(AA198:AF198)=0,1,AVERAGEIF(AA198:AF198,"&lt;&gt;0"))</f>
        <v>0.99326685923708558</v>
      </c>
      <c r="E241" s="589">
        <f>IF(SUM(U198:AF198)=0,1,AVERAGEIF(U198:AF198,"&lt;&gt;0"))</f>
        <v>0.99230920173417969</v>
      </c>
      <c r="F241" s="589">
        <f>IF(SUM($C198:AF198)=0,1,AVERAGEIF($C198:AF198,"&lt;&gt;0"))</f>
        <v>0.99066327116914621</v>
      </c>
      <c r="G241" s="589">
        <f>IF(SUM(AA198:AC198)=0,1,AVERAGEIF(AA198:AC198,"&lt;&gt;0"))</f>
        <v>0.99326927884514704</v>
      </c>
      <c r="H241" s="589">
        <f>IF(SUM(X198:Z198)=0,1,AVERAGEIF(X198:Z198,"&lt;&gt;0"))</f>
        <v>0.990447092791228</v>
      </c>
      <c r="I241" s="589">
        <f>IF(SUM(U198:W198)=0,1,AVERAGEIF(U198:W198,"&lt;&gt;0"))</f>
        <v>0.99225599567131928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0.99544992407829946</v>
      </c>
      <c r="N241" s="589">
        <f>IF(SUM(AA198:AF198)=0,0,SMALL(AA198:AF198,COUNTIF(AA198:AF198,0)+1))</f>
        <v>0.98967424944781224</v>
      </c>
      <c r="O241" s="589">
        <f t="shared" si="122"/>
        <v>0.99361924547410052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0.99544992407829946</v>
      </c>
      <c r="T241" s="589">
        <f>IF(SUM(U198:AF198)=0,0,SMALL(U198:AF198,COUNTIF(U198:AF198,0)+1))</f>
        <v>0.98434134487338676</v>
      </c>
      <c r="U241" s="317">
        <f t="shared" si="124"/>
        <v>0.99279191518584697</v>
      </c>
      <c r="V241" s="568" t="s">
        <v>984</v>
      </c>
      <c r="W241" s="7"/>
      <c r="X241" s="567">
        <f t="shared" si="125"/>
        <v>0.99326443962902422</v>
      </c>
      <c r="Y241" s="14">
        <f t="shared" si="126"/>
        <v>0.99326685923708558</v>
      </c>
      <c r="Z241" s="14">
        <f t="shared" si="127"/>
        <v>0.99230920173417969</v>
      </c>
      <c r="AA241" s="14">
        <f t="shared" si="128"/>
        <v>0.99066327116914621</v>
      </c>
      <c r="AB241" s="14">
        <f t="shared" si="129"/>
        <v>0.99361902970991689</v>
      </c>
      <c r="AC241" s="14">
        <f t="shared" si="130"/>
        <v>0.99279191518584697</v>
      </c>
      <c r="AD241" s="14">
        <f t="shared" si="131"/>
        <v>0.99326927884514704</v>
      </c>
      <c r="AE241" s="14">
        <f t="shared" si="132"/>
        <v>0.990447092791228</v>
      </c>
      <c r="AF241" s="14">
        <f t="shared" si="133"/>
        <v>0.99225599567131928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0.99333689515623869</v>
      </c>
      <c r="D242" s="589">
        <f>IF(SUM(Z199:AE199)=0,1,AVERAGEIF(Z199:AE199,"&lt;&gt;0"))</f>
        <v>0.99337197495375962</v>
      </c>
      <c r="E242" s="589">
        <f>IF(SUM(T199:AE199)=0,1,AVERAGEIF(T199:AE199,"&lt;&gt;0"))</f>
        <v>0.99367046657558866</v>
      </c>
      <c r="F242" s="589">
        <f>IF(SUM($C199:AE199)=0,1,AVERAGEIF($C199:AE199,"&lt;&gt;0"))</f>
        <v>0.99164586127232801</v>
      </c>
      <c r="G242" s="589">
        <f>IF(SUM(Z199:AB199)=0,1,AVERAGEIF(Z199:AB199,"&lt;&gt;0"))</f>
        <v>0.99340705475128044</v>
      </c>
      <c r="H242" s="589">
        <f>IF(SUM(W199:Y199)=0,1,AVERAGEIF(W199:Y199,"&lt;&gt;0"))</f>
        <v>0.99317411711447612</v>
      </c>
      <c r="I242" s="589">
        <f>IF(SUM(T199:V199)=0,1,AVERAGEIF(T199:V199,"&lt;&gt;0"))</f>
        <v>0.99476379928035907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0.99441053032240068</v>
      </c>
      <c r="N242" s="589">
        <f>IF(SUM(Z199:AE199)=0,0,SMALL(Z199:AE199,COUNTIF(Z199:AE199,0)+1))</f>
        <v>0.99134692667339586</v>
      </c>
      <c r="O242" s="589">
        <f t="shared" si="122"/>
        <v>0.99361859818169029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0.99662782685835438</v>
      </c>
      <c r="T242" s="589">
        <f>IF(SUM(T199:AE199)=0,0,SMALL(T199:AE199,COUNTIF(T199:AE199,0)+1))</f>
        <v>0.99134692667339586</v>
      </c>
      <c r="U242" s="317">
        <f t="shared" si="124"/>
        <v>0.99360708453753133</v>
      </c>
      <c r="V242" s="568" t="s">
        <v>985</v>
      </c>
      <c r="W242" s="7"/>
      <c r="X242" s="14">
        <f t="shared" si="125"/>
        <v>0.99333689515623869</v>
      </c>
      <c r="Y242" s="14">
        <f t="shared" si="126"/>
        <v>0.99337197495375962</v>
      </c>
      <c r="Z242" s="14">
        <f t="shared" si="127"/>
        <v>0.99367046657558866</v>
      </c>
      <c r="AA242" s="14">
        <f t="shared" si="128"/>
        <v>0.99164586127232801</v>
      </c>
      <c r="AB242" s="14">
        <f t="shared" si="129"/>
        <v>0.99361859818169029</v>
      </c>
      <c r="AC242" s="14">
        <f t="shared" si="130"/>
        <v>0.99360708453753133</v>
      </c>
      <c r="AD242" s="14">
        <f t="shared" si="131"/>
        <v>0.99340705475128044</v>
      </c>
      <c r="AE242" s="14">
        <f t="shared" si="132"/>
        <v>0.99317411711447612</v>
      </c>
      <c r="AF242" s="14">
        <f t="shared" si="133"/>
        <v>0.99476379928035907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0.99394390175678871</v>
      </c>
      <c r="D243" s="589">
        <f>IF(SUM(Y200:AD200)=0,1,AVERAGEIF(Y200:AD200,"&lt;&gt;0"))</f>
        <v>0.994570076513413</v>
      </c>
      <c r="E243" s="589">
        <f>IF(SUM(S200:AD200)=0,1,AVERAGEIF(S200:AD200,"&lt;&gt;0"))</f>
        <v>0.99488137327774984</v>
      </c>
      <c r="F243" s="589">
        <f>IF(SUM($C200:AD200)=0,1,AVERAGEIF($C200:AD200,"&lt;&gt;0"))</f>
        <v>0.99357150892583668</v>
      </c>
      <c r="G243" s="589">
        <f>IF(SUM(Y200:AA200)=0,1,AVERAGEIF(Y200:AA200,"&lt;&gt;0"))</f>
        <v>0.99519625127003752</v>
      </c>
      <c r="H243" s="589">
        <f>IF(SUM(V200:X200)=0,1,AVERAGEIF(V200:X200,"&lt;&gt;0"))</f>
        <v>0.99492478152117536</v>
      </c>
      <c r="I243" s="589">
        <f>IF(SUM(S200:U200)=0,1,AVERAGEIF(S200:U200,"&lt;&gt;0"))</f>
        <v>0.99546055856299809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0.99695002255627951</v>
      </c>
      <c r="N243" s="589">
        <f>IF(SUM(Y200:AD200)=0,0,SMALL(Y200:AD200,COUNTIF(Y200:AD200,0)+1))</f>
        <v>0.99029400123764322</v>
      </c>
      <c r="O243" s="589">
        <f t="shared" si="122"/>
        <v>0.99504410882163885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0.99695002255627951</v>
      </c>
      <c r="T243" s="589">
        <f>IF(SUM(S200:AD200)=0,0,SMALL(S200:AD200,COUNTIF(S200:AD200,0)+1))</f>
        <v>0.99029400123764322</v>
      </c>
      <c r="U243" s="317">
        <f t="shared" si="124"/>
        <v>0.99513324555390736</v>
      </c>
      <c r="V243" s="568" t="s">
        <v>986</v>
      </c>
      <c r="W243" s="7"/>
      <c r="X243" s="14">
        <f t="shared" si="125"/>
        <v>0.99394390175678871</v>
      </c>
      <c r="Y243" s="14">
        <f t="shared" si="126"/>
        <v>0.994570076513413</v>
      </c>
      <c r="Z243" s="14">
        <f t="shared" si="127"/>
        <v>0.99488137327774984</v>
      </c>
      <c r="AA243" s="14">
        <f t="shared" si="128"/>
        <v>0.99357150892583668</v>
      </c>
      <c r="AB243" s="14">
        <f t="shared" si="129"/>
        <v>0.99504410882163885</v>
      </c>
      <c r="AC243" s="14">
        <f t="shared" si="130"/>
        <v>0.99513324555390736</v>
      </c>
      <c r="AD243" s="14">
        <f t="shared" si="131"/>
        <v>0.99519625127003752</v>
      </c>
      <c r="AE243" s="14">
        <f t="shared" si="132"/>
        <v>0.99492478152117536</v>
      </c>
      <c r="AF243" s="14">
        <f t="shared" si="133"/>
        <v>0.99546055856299809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0.99418900856788073</v>
      </c>
      <c r="D244" s="589">
        <f>IF(SUM(X201:AC201)=0,1,AVERAGEIF(X201:AC201,"&lt;&gt;0"))</f>
        <v>0.99537774514674948</v>
      </c>
      <c r="E244" s="589">
        <f>IF(SUM(R201:AC201)=0,1,AVERAGEIF(R201:AC201,"&lt;&gt;0"))</f>
        <v>0.99599198235470332</v>
      </c>
      <c r="F244" s="589">
        <f>IF(SUM($C201:AC201)=0,1,AVERAGEIF($C201:AC201,"&lt;&gt;0"))</f>
        <v>0.99499332546700381</v>
      </c>
      <c r="G244" s="589">
        <f>IF(SUM(X201:Z201)=0,1,AVERAGEIF(X201:Z201,"&lt;&gt;0"))</f>
        <v>0.99656648172561813</v>
      </c>
      <c r="H244" s="589">
        <f>IF(SUM(U201:W201)=0,1,AVERAGEIF(U201:W201,"&lt;&gt;0"))</f>
        <v>0.99594346711916815</v>
      </c>
      <c r="I244" s="589">
        <f>IF(SUM(R201:T201)=0,1,AVERAGEIF(R201:T201,"&lt;&gt;0"))</f>
        <v>0.99726897200614584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0.99778302973204025</v>
      </c>
      <c r="N244" s="589">
        <f>IF(SUM(X201:AC201)=0,0,SMALL(X201:AC201,COUNTIF(X201:AC201,0)+1))</f>
        <v>0.99276298434339849</v>
      </c>
      <c r="O244" s="589">
        <f t="shared" si="122"/>
        <v>0.99543011420126448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0.9987066906810389</v>
      </c>
      <c r="T244" s="589">
        <f>IF(SUM(R201:AC201)=0,0,SMALL(R201:AC201,COUNTIF(R201:AC201,0)+1))</f>
        <v>0.99276298434339849</v>
      </c>
      <c r="U244" s="317">
        <f t="shared" si="124"/>
        <v>0.99604341132320029</v>
      </c>
      <c r="V244" s="568" t="s">
        <v>987</v>
      </c>
      <c r="W244" s="7"/>
      <c r="X244" s="14">
        <f t="shared" si="125"/>
        <v>0.99418900856788073</v>
      </c>
      <c r="Y244" s="14">
        <f t="shared" si="126"/>
        <v>0.99537774514674948</v>
      </c>
      <c r="Z244" s="14">
        <f t="shared" si="127"/>
        <v>0.99599198235470332</v>
      </c>
      <c r="AA244" s="14">
        <f t="shared" si="128"/>
        <v>0.99499332546700381</v>
      </c>
      <c r="AB244" s="14">
        <f t="shared" si="129"/>
        <v>0.99543011420126448</v>
      </c>
      <c r="AC244" s="14">
        <f t="shared" si="130"/>
        <v>0.99604341132320029</v>
      </c>
      <c r="AD244" s="14">
        <f t="shared" si="131"/>
        <v>0.99641799719139112</v>
      </c>
      <c r="AE244" s="14">
        <f t="shared" si="132"/>
        <v>0.99572399586194693</v>
      </c>
      <c r="AF244" s="14">
        <f t="shared" si="133"/>
        <v>0.99721517003331772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0.99596423236386433</v>
      </c>
      <c r="D245" s="589">
        <f>IF(SUM(W202:AB202)=0,1,AVERAGEIF(W202:AB202,"&lt;&gt;0"))</f>
        <v>0.99604266342718073</v>
      </c>
      <c r="E245" s="589">
        <f>IF(SUM(Q202:AB202)=0,1,AVERAGEIF(Q202:AB202,"&lt;&gt;0"))</f>
        <v>0.99611952501947953</v>
      </c>
      <c r="F245" s="589">
        <f>IF(SUM($C202:AB202)=0,1,AVERAGEIF($C202:AB202,"&lt;&gt;0"))</f>
        <v>0.99630878555305757</v>
      </c>
      <c r="G245" s="589">
        <f>IF(SUM(W202:Y202)=0,1,AVERAGEIF(W202:Y202,"&lt;&gt;0"))</f>
        <v>0.99612109449049713</v>
      </c>
      <c r="H245" s="589">
        <f>IF(SUM(T202:V202)=0,1,AVERAGEIF(T202:V202,"&lt;&gt;0"))</f>
        <v>0.99528519842831342</v>
      </c>
      <c r="I245" s="589">
        <f>IF(SUM(Q202:S202)=0,1,AVERAGEIF(Q202:S202,"&lt;&gt;0"))</f>
        <v>0.99710757479524281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0.99742904467488003</v>
      </c>
      <c r="N245" s="589">
        <f>IF(SUM(W202:AB202)=0,0,SMALL(W202:AB202,COUNTIF(W202:AB202,0)+1))</f>
        <v>0.99385978518848472</v>
      </c>
      <c r="O245" s="589">
        <f t="shared" si="122"/>
        <v>0.99624178767492988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0.99899093377846726</v>
      </c>
      <c r="T245" s="589">
        <f>IF(SUM(Q202:AB202)=0,0,SMALL(Q202:AB202,COUNTIF(Q202:AB202,0)+1))</f>
        <v>0.99366434330345965</v>
      </c>
      <c r="U245" s="317">
        <f t="shared" si="124"/>
        <v>0.99607790231518278</v>
      </c>
      <c r="V245" s="568" t="s">
        <v>988</v>
      </c>
      <c r="W245" s="7"/>
      <c r="X245" s="14">
        <f t="shared" si="125"/>
        <v>0.99596423236386433</v>
      </c>
      <c r="Y245" s="14">
        <f t="shared" si="126"/>
        <v>0.99604266342718073</v>
      </c>
      <c r="Z245" s="14">
        <f t="shared" si="127"/>
        <v>0.99611952501947953</v>
      </c>
      <c r="AA245" s="14">
        <f t="shared" si="128"/>
        <v>0.99630878555305757</v>
      </c>
      <c r="AB245" s="14">
        <f t="shared" si="129"/>
        <v>0.99624178767492988</v>
      </c>
      <c r="AC245" s="14">
        <f t="shared" si="130"/>
        <v>0.99607790231518278</v>
      </c>
      <c r="AD245" s="14">
        <f t="shared" si="131"/>
        <v>0.99612109449049713</v>
      </c>
      <c r="AE245" s="14">
        <f t="shared" si="132"/>
        <v>0.99528519842831342</v>
      </c>
      <c r="AF245" s="14">
        <f t="shared" si="133"/>
        <v>0.99710757479524281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0.99724048113010777</v>
      </c>
      <c r="D246" s="589">
        <f>IF(SUM(V203:AA203)=0,1,AVERAGEIF(V203:AA203,"&lt;&gt;0"))</f>
        <v>0.99673646470425015</v>
      </c>
      <c r="E246" s="589">
        <f>IF(SUM(P203:AA203)=0,1,AVERAGEIF(P203:AA203,"&lt;&gt;0"))</f>
        <v>0.99694273479594442</v>
      </c>
      <c r="F246" s="589">
        <f>IF(SUM($C203:AA203)=0,1,AVERAGEIF($C203:AA203,"&lt;&gt;0"))</f>
        <v>0.99653493767446433</v>
      </c>
      <c r="G246" s="589">
        <f>IF(SUM(V203:X203)=0,1,AVERAGEIF(V203:X203,"&lt;&gt;0"))</f>
        <v>0.99623244827839263</v>
      </c>
      <c r="H246" s="589">
        <f>IF(SUM(S203:U203)=0,1,AVERAGEIF(S203:U203,"&lt;&gt;0"))</f>
        <v>0.99635036272234556</v>
      </c>
      <c r="I246" s="589">
        <f>IF(SUM(P203:R203)=0,1,AVERAGEIF(P203:R203,"&lt;&gt;0"))</f>
        <v>0.99794764705293126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0.99754720220920434</v>
      </c>
      <c r="N246" s="589">
        <f>IF(SUM(V203:AA203)=0,0,SMALL(V203:AA203,COUNTIF(V203:AA203,0)+1))</f>
        <v>0.99478546432992809</v>
      </c>
      <c r="O246" s="589">
        <f t="shared" si="122"/>
        <v>0.99702153042159225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0.99949214427290667</v>
      </c>
      <c r="T246" s="589">
        <f>IF(SUM(P203:AA203)=0,0,SMALL(P203:AA203,COUNTIF(P203:AA203,0)+1))</f>
        <v>0.99478546432992809</v>
      </c>
      <c r="U246" s="317">
        <f t="shared" si="124"/>
        <v>0.9969035208948499</v>
      </c>
      <c r="V246" s="568" t="s">
        <v>989</v>
      </c>
      <c r="W246" s="7"/>
      <c r="X246" s="14">
        <f t="shared" si="125"/>
        <v>0.99724048113010777</v>
      </c>
      <c r="Y246" s="14">
        <f t="shared" si="126"/>
        <v>0.99673646470425015</v>
      </c>
      <c r="Z246" s="14">
        <f t="shared" si="127"/>
        <v>0.99694273479594442</v>
      </c>
      <c r="AA246" s="14">
        <f t="shared" si="128"/>
        <v>0.99653493767446433</v>
      </c>
      <c r="AB246" s="14">
        <f t="shared" si="129"/>
        <v>0.99702153042159225</v>
      </c>
      <c r="AC246" s="14">
        <f t="shared" si="130"/>
        <v>0.9969035208948499</v>
      </c>
      <c r="AD246" s="14">
        <f t="shared" si="131"/>
        <v>0.99623244827839263</v>
      </c>
      <c r="AE246" s="14">
        <f t="shared" si="132"/>
        <v>0.99635036272234556</v>
      </c>
      <c r="AF246" s="14">
        <f t="shared" si="133"/>
        <v>0.99791453901462523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0.99744158357497692</v>
      </c>
      <c r="D247" s="589">
        <f>IF(SUM(U204:Z204)=0,1,AVERAGEIF(U204:Z204,"&lt;&gt;0"))</f>
        <v>0.9974082452820533</v>
      </c>
      <c r="E247" s="589">
        <f>IF(SUM(O204:Z204)=0,1,AVERAGEIF(O204:Z204,"&lt;&gt;0"))</f>
        <v>0.99757634414364238</v>
      </c>
      <c r="F247" s="589">
        <f>IF(SUM($C204:Z204)=0,1,AVERAGEIF($C204:Z204,"&lt;&gt;0"))</f>
        <v>0.99679751907880476</v>
      </c>
      <c r="G247" s="589">
        <f>IF(SUM(U204:W204)=0,1,AVERAGEIF(U204:W204,"&lt;&gt;0"))</f>
        <v>0.99737490698912967</v>
      </c>
      <c r="H247" s="589">
        <f>IF(SUM(R204:T204)=0,1,AVERAGEIF(R204:T204,"&lt;&gt;0"))</f>
        <v>0.99764055977729704</v>
      </c>
      <c r="I247" s="589">
        <f>IF(SUM(O204:Q204)=0,1,AVERAGEIF(O204:Q204,"&lt;&gt;0"))</f>
        <v>0.99784832623316599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0.99821793643079493</v>
      </c>
      <c r="N247" s="589">
        <f>IF(SUM(U204:Z204)=0,0,SMALL(U204:Z204,COUNTIF(U204:Z204,0)+1))</f>
        <v>0.9965016207071169</v>
      </c>
      <c r="O247" s="589">
        <f t="shared" si="122"/>
        <v>0.99743247863860196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0.99941254271347735</v>
      </c>
      <c r="T247" s="589">
        <f>IF(SUM(O204:Z204)=0,0,SMALL(O204:Z204,COUNTIF(O204:Z204,0)+1))</f>
        <v>0.9951463131161884</v>
      </c>
      <c r="U247" s="317">
        <f t="shared" si="124"/>
        <v>0.9976357273894042</v>
      </c>
      <c r="V247" s="568" t="s">
        <v>990</v>
      </c>
      <c r="W247" s="7"/>
      <c r="X247" s="14">
        <f t="shared" si="125"/>
        <v>0.99740538676240076</v>
      </c>
      <c r="Y247" s="14">
        <f t="shared" si="126"/>
        <v>0.9974082452820533</v>
      </c>
      <c r="Z247" s="14">
        <f t="shared" si="127"/>
        <v>0.99757634414364238</v>
      </c>
      <c r="AA247" s="14">
        <f t="shared" si="128"/>
        <v>0.99654063075542665</v>
      </c>
      <c r="AB247" s="14">
        <f t="shared" si="129"/>
        <v>0.99740594985905484</v>
      </c>
      <c r="AC247" s="14">
        <f t="shared" si="130"/>
        <v>0.9976357273894042</v>
      </c>
      <c r="AD247" s="14">
        <f t="shared" si="131"/>
        <v>0.99737490698912967</v>
      </c>
      <c r="AE247" s="14">
        <f t="shared" si="132"/>
        <v>0.99764055977729704</v>
      </c>
      <c r="AF247" s="14">
        <f t="shared" si="133"/>
        <v>0.99784832623316599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0.99733299707791045</v>
      </c>
      <c r="D248" s="589">
        <f>IF(SUM(T205:Y205)=0,1,AVERAGEIF(T205:Y205,"&lt;&gt;0"))</f>
        <v>0.9976029102657108</v>
      </c>
      <c r="E248" s="589">
        <f>IF(SUM(N205:Y205)=0,1,AVERAGEIF(N205:Y205,"&lt;&gt;0"))</f>
        <v>0.99792748715697155</v>
      </c>
      <c r="F248" s="589">
        <f>IF(SUM($C205:Y205)=0,1,AVERAGEIF($C205:Y205,"&lt;&gt;0"))</f>
        <v>0.9960270527024887</v>
      </c>
      <c r="G248" s="589">
        <f>IF(SUM(T205:V205)=0,1,AVERAGEIF(T205:V205,"&lt;&gt;0"))</f>
        <v>0.99787282345351092</v>
      </c>
      <c r="H248" s="589">
        <f>IF(SUM(Q205:S205)=0,1,AVERAGEIF(Q205:S205,"&lt;&gt;0"))</f>
        <v>0.99788095344597716</v>
      </c>
      <c r="I248" s="589">
        <f>IF(SUM(N205:P205)=0,1,AVERAGEIF(N205:P205,"&lt;&gt;0"))</f>
        <v>0.99862317465048756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0.99955533122785378</v>
      </c>
      <c r="N248" s="589">
        <f>IF(SUM(T205:Y205)=0,0,SMALL(T205:Y205,COUNTIF(T205:Y205,0)+1))</f>
        <v>0.99665055269959091</v>
      </c>
      <c r="O248" s="589">
        <f t="shared" si="122"/>
        <v>0.99735289441670494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0.99981942321552908</v>
      </c>
      <c r="T248" s="589">
        <f>IF(SUM(N205:Y205)=0,0,SMALL(N205:Y205,COUNTIF(N205:Y205,0)+1))</f>
        <v>0.99645481212414266</v>
      </c>
      <c r="U248" s="317">
        <f t="shared" si="124"/>
        <v>0.99788556105439885</v>
      </c>
      <c r="V248" s="568" t="s">
        <v>991</v>
      </c>
      <c r="W248" s="7"/>
      <c r="X248" s="14">
        <f t="shared" si="125"/>
        <v>0.99733299707791045</v>
      </c>
      <c r="Y248" s="14">
        <f t="shared" si="126"/>
        <v>0.9976029102657108</v>
      </c>
      <c r="Z248" s="14">
        <f t="shared" si="127"/>
        <v>0.99784384680003779</v>
      </c>
      <c r="AA248" s="14">
        <f t="shared" si="128"/>
        <v>0.9960270527024887</v>
      </c>
      <c r="AB248" s="14">
        <f t="shared" si="129"/>
        <v>0.99735289441670494</v>
      </c>
      <c r="AC248" s="14">
        <f t="shared" si="130"/>
        <v>0.99788357658247917</v>
      </c>
      <c r="AD248" s="14">
        <f t="shared" si="131"/>
        <v>0.99787167346070349</v>
      </c>
      <c r="AE248" s="14">
        <f t="shared" si="132"/>
        <v>0.99778783452320619</v>
      </c>
      <c r="AF248" s="14">
        <f t="shared" si="133"/>
        <v>0.99817406267850262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0.99795890765797035</v>
      </c>
      <c r="D249" s="589">
        <f>IF(SUM(S206:X206)=0,1,AVERAGEIF(S206:X206,"&lt;&gt;0"))</f>
        <v>0.99791414056851746</v>
      </c>
      <c r="E249" s="589">
        <f>IF(SUM(M206:X206)=0,1,AVERAGEIF(M206:X206,"&lt;&gt;0"))</f>
        <v>0.99767658711629714</v>
      </c>
      <c r="F249" s="589">
        <f>IF(SUM($C206:X206)=0,1,AVERAGEIF($C206:X206,"&lt;&gt;0"))</f>
        <v>0.99640493945034836</v>
      </c>
      <c r="G249" s="589">
        <f>IF(SUM(S206:U206)=0,1,AVERAGEIF(S206:U206,"&lt;&gt;0"))</f>
        <v>0.99786937347906457</v>
      </c>
      <c r="H249" s="589">
        <f>IF(SUM(P206:R206)=0,1,AVERAGEIF(P206:R206,"&lt;&gt;0"))</f>
        <v>0.99760162274549546</v>
      </c>
      <c r="I249" s="589">
        <f>IF(SUM(M206:O206)=0,1,AVERAGEIF(M206:O206,"&lt;&gt;0"))</f>
        <v>0.99727644458265841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0.99962416582862001</v>
      </c>
      <c r="N249" s="589">
        <f>IF(SUM(S206:X206)=0,0,SMALL(S206:X206,COUNTIF(S206:X206,0)+1))</f>
        <v>0.99502386175662283</v>
      </c>
      <c r="O249" s="589">
        <f t="shared" si="122"/>
        <v>0.99820920395646551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0.99983379781250425</v>
      </c>
      <c r="T249" s="589">
        <f>IF(SUM(M206:X206)=0,0,SMALL(M206:X206,COUNTIF(M206:X206,0)+1))</f>
        <v>0.99348917107827039</v>
      </c>
      <c r="U249" s="317">
        <f t="shared" si="124"/>
        <v>0.99787960765047912</v>
      </c>
      <c r="V249" s="568" t="s">
        <v>992</v>
      </c>
      <c r="W249" s="7"/>
      <c r="X249" s="14">
        <f t="shared" si="125"/>
        <v>0.99795890765797035</v>
      </c>
      <c r="Y249" s="14">
        <f t="shared" si="126"/>
        <v>0.99791414056851746</v>
      </c>
      <c r="Z249" s="14">
        <f t="shared" si="127"/>
        <v>0.99767658711629714</v>
      </c>
      <c r="AA249" s="14">
        <f t="shared" si="128"/>
        <v>0.99640493945034836</v>
      </c>
      <c r="AB249" s="14">
        <f t="shared" si="129"/>
        <v>0.99820920395646551</v>
      </c>
      <c r="AC249" s="14">
        <f t="shared" si="130"/>
        <v>0.99787960765047912</v>
      </c>
      <c r="AD249" s="14">
        <f t="shared" si="131"/>
        <v>0.99786937347906457</v>
      </c>
      <c r="AE249" s="14">
        <f t="shared" si="132"/>
        <v>0.99760162274549546</v>
      </c>
      <c r="AF249" s="14">
        <f t="shared" si="133"/>
        <v>0.99727644458265841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0.99899473376476999</v>
      </c>
      <c r="D250" s="589">
        <f>IF(SUM(R207:W207)=0,1,AVERAGEIF(R207:W207,"&lt;&gt;0"))</f>
        <v>0.99866637821078508</v>
      </c>
      <c r="E250" s="589">
        <f>IF(SUM(L207:W207)=0,1,AVERAGEIF(L207:W207,"&lt;&gt;0"))</f>
        <v>0.99859204456798911</v>
      </c>
      <c r="F250" s="589">
        <f>IF(SUM($C207:W207)=0,1,AVERAGEIF($C207:W207,"&lt;&gt;0"))</f>
        <v>0.99777048272882873</v>
      </c>
      <c r="G250" s="589">
        <f>IF(SUM(R207:T207)=0,1,AVERAGEIF(R207:T207,"&lt;&gt;0"))</f>
        <v>0.99833802265680038</v>
      </c>
      <c r="H250" s="589">
        <f>IF(SUM(O207:Q207)=0,1,AVERAGEIF(O207:Q207,"&lt;&gt;0"))</f>
        <v>0.99895174859815195</v>
      </c>
      <c r="I250" s="589">
        <f>IF(SUM(L207:N207)=0,1,AVERAGEIF(L207:N207,"&lt;&gt;0"))</f>
        <v>0.99808367325223368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0.99987064198132125</v>
      </c>
      <c r="N250" s="589">
        <f>IF(SUM(R207:W207)=0,0,SMALL(R207:W207,COUNTIF(R207:W207,0)+1))</f>
        <v>0.9962931402540921</v>
      </c>
      <c r="O250" s="589">
        <f t="shared" si="122"/>
        <v>0.99895862175732442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0.99987064198132125</v>
      </c>
      <c r="T250" s="589">
        <f>IF(SUM(L207:W207)=0,0,SMALL(L207:W207,COUNTIF(L207:W207,0)+1))</f>
        <v>0.99545143653194512</v>
      </c>
      <c r="U250" s="317">
        <f t="shared" si="124"/>
        <v>0.99877824563026019</v>
      </c>
      <c r="V250" s="568" t="s">
        <v>993</v>
      </c>
      <c r="W250" s="7"/>
      <c r="X250" s="14">
        <f t="shared" si="125"/>
        <v>0.99899473376476999</v>
      </c>
      <c r="Y250" s="14">
        <f t="shared" si="126"/>
        <v>0.99866637821078508</v>
      </c>
      <c r="Z250" s="14">
        <f t="shared" si="127"/>
        <v>0.99859204456798911</v>
      </c>
      <c r="AA250" s="14">
        <f t="shared" si="128"/>
        <v>0.99777048272882873</v>
      </c>
      <c r="AB250" s="14">
        <f t="shared" si="129"/>
        <v>0.99895862175732442</v>
      </c>
      <c r="AC250" s="14">
        <f t="shared" si="130"/>
        <v>0.99877824563026019</v>
      </c>
      <c r="AD250" s="14">
        <f t="shared" si="131"/>
        <v>0.99833802265680038</v>
      </c>
      <c r="AE250" s="14">
        <f t="shared" si="132"/>
        <v>0.99853241409248117</v>
      </c>
      <c r="AF250" s="14">
        <f t="shared" si="133"/>
        <v>0.99808367325223368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0.99970662366447771</v>
      </c>
      <c r="D251" s="589">
        <f>IF(SUM(Q208:V208)=0,1,AVERAGEIF(Q208:V208,"&lt;&gt;0"))</f>
        <v>0.99939774449858321</v>
      </c>
      <c r="E251" s="589">
        <f>IF(SUM(K208:V208)=0,1,AVERAGEIF(K208:V208,"&lt;&gt;0"))</f>
        <v>0.99897385924447846</v>
      </c>
      <c r="F251" s="589">
        <f>IF(SUM($C208:V208)=0,1,AVERAGEIF($C208:V208,"&lt;&gt;0"))</f>
        <v>0.99838084161646612</v>
      </c>
      <c r="G251" s="589">
        <f>IF(SUM(Q208:S208)=0,1,AVERAGEIF(Q208:S208,"&lt;&gt;0"))</f>
        <v>0.99908886533268859</v>
      </c>
      <c r="H251" s="589">
        <f>IF(SUM(N208:P208)=0,1,AVERAGEIF(N208:P208,"&lt;&gt;0"))</f>
        <v>0.99769427308508973</v>
      </c>
      <c r="I251" s="589">
        <f>IF(SUM(K208:M208)=0,1,AVERAGEIF(K208:M208,"&lt;&gt;0"))</f>
        <v>0.99940567489565713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0.99997200105495787</v>
      </c>
      <c r="N251" s="589">
        <f>IF(SUM(Q208:V208)=0,0,SMALL(Q208:V208,COUNTIF(Q208:V208,0)+1))</f>
        <v>0.9982779035272199</v>
      </c>
      <c r="O251" s="589">
        <f t="shared" si="122"/>
        <v>0.99953414060233037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0.99997200105495787</v>
      </c>
      <c r="T251" s="589">
        <f>IF(SUM(K208:V208)=0,0,SMALL(K208:V208,COUNTIF(K208:V208,0)+1))</f>
        <v>0.99735770573017712</v>
      </c>
      <c r="U251" s="317">
        <f t="shared" si="124"/>
        <v>0.99903566041486047</v>
      </c>
      <c r="V251" s="568" t="s">
        <v>994</v>
      </c>
      <c r="W251" s="7"/>
      <c r="X251" s="14">
        <f t="shared" si="125"/>
        <v>0.99970662366447771</v>
      </c>
      <c r="Y251" s="14">
        <f t="shared" si="126"/>
        <v>0.99935489427600444</v>
      </c>
      <c r="Z251" s="14">
        <f t="shared" si="127"/>
        <v>0.99897385924447846</v>
      </c>
      <c r="AA251" s="14">
        <f t="shared" si="128"/>
        <v>0.99818425726568127</v>
      </c>
      <c r="AB251" s="14">
        <f t="shared" si="129"/>
        <v>0.99953414060233037</v>
      </c>
      <c r="AC251" s="14">
        <f t="shared" si="130"/>
        <v>0.99903566041486047</v>
      </c>
      <c r="AD251" s="14">
        <f t="shared" si="131"/>
        <v>0.99900050741614899</v>
      </c>
      <c r="AE251" s="14">
        <f t="shared" si="132"/>
        <v>0.99769427308508973</v>
      </c>
      <c r="AF251" s="14">
        <f t="shared" si="133"/>
        <v>0.99940567489565713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0.99971458365992216</v>
      </c>
      <c r="D252" s="589">
        <f>IF(SUM(P209:U209)=0,1,AVERAGEIF(P209:U209,"&lt;&gt;0"))</f>
        <v>0.99926919934251224</v>
      </c>
      <c r="E252" s="589">
        <f>IF(SUM(J209:U209)=0,1,AVERAGEIF(J209:U209,"&lt;&gt;0"))</f>
        <v>0.99902884531899083</v>
      </c>
      <c r="F252" s="589">
        <f>IF(SUM($C209:U209)=0,1,AVERAGEIF($C209:U209,"&lt;&gt;0"))</f>
        <v>0.99779120468073434</v>
      </c>
      <c r="G252" s="589">
        <f>IF(SUM(P209:R209)=0,1,AVERAGEIF(P209:R209,"&lt;&gt;0"))</f>
        <v>0.99882381502510231</v>
      </c>
      <c r="H252" s="589">
        <f>IF(SUM(M209:O209)=0,1,AVERAGEIF(M209:O209,"&lt;&gt;0"))</f>
        <v>0.99784258162099071</v>
      </c>
      <c r="I252" s="589">
        <f>IF(SUM(J209:L209)=0,1,AVERAGEIF(J209:L209,"&lt;&gt;0"))</f>
        <v>0.99973440096994803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0.99997489875268997</v>
      </c>
      <c r="N252" s="589">
        <f>IF(SUM(P209:U209)=0,0,SMALL(P209:U209,COUNTIF(P209:U209,0)+1))</f>
        <v>0.99721735256004873</v>
      </c>
      <c r="O252" s="589">
        <f t="shared" si="122"/>
        <v>0.99960573618558368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0.99997489875268997</v>
      </c>
      <c r="T252" s="589">
        <f>IF(SUM(J209:U209)=0,0,SMALL(J209:U209,COUNTIF(J209:U209,0)+1))</f>
        <v>0.99632766534286177</v>
      </c>
      <c r="U252" s="317">
        <f t="shared" si="124"/>
        <v>0.9992043579732337</v>
      </c>
      <c r="V252" s="568" t="s">
        <v>995</v>
      </c>
      <c r="W252" s="7"/>
      <c r="X252" s="14">
        <f t="shared" si="125"/>
        <v>0.99921581653698399</v>
      </c>
      <c r="Y252" s="14">
        <f t="shared" si="126"/>
        <v>0.99917974734179815</v>
      </c>
      <c r="Z252" s="14">
        <f t="shared" si="127"/>
        <v>0.99900837402214038</v>
      </c>
      <c r="AA252" s="14">
        <f t="shared" si="128"/>
        <v>0.99779120468073434</v>
      </c>
      <c r="AB252" s="14">
        <f t="shared" si="129"/>
        <v>0.99960573618558368</v>
      </c>
      <c r="AC252" s="14">
        <f t="shared" si="130"/>
        <v>0.9992043579732337</v>
      </c>
      <c r="AD252" s="14">
        <f t="shared" si="131"/>
        <v>0.99882381502510231</v>
      </c>
      <c r="AE252" s="14">
        <f t="shared" si="132"/>
        <v>0.99784258162099071</v>
      </c>
      <c r="AF252" s="14">
        <f t="shared" si="133"/>
        <v>0.9996451791324843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0.99821902868595647</v>
      </c>
      <c r="D253" s="589">
        <f>IF(SUM(O210:T210)=0,1,AVERAGEIF(O210:T210,"&lt;&gt;0"))</f>
        <v>0.99900086736219007</v>
      </c>
      <c r="E253" s="589">
        <f>IF(SUM(I210:T210)=0,1,AVERAGEIF(I210:T210,"&lt;&gt;0"))</f>
        <v>0.99896743268687516</v>
      </c>
      <c r="F253" s="589">
        <f>IF(SUM($C210:T210)=0,1,AVERAGEIF($C210:T210,"&lt;&gt;0"))</f>
        <v>0.99844085048388542</v>
      </c>
      <c r="G253" s="589">
        <f>IF(SUM(O210:Q210)=0,1,AVERAGEIF(O210:Q210,"&lt;&gt;0"))</f>
        <v>0.99978270603842356</v>
      </c>
      <c r="H253" s="589">
        <f>IF(SUM(L210:N210)=0,1,AVERAGEIF(L210:N210,"&lt;&gt;0"))</f>
        <v>0.99840123667832092</v>
      </c>
      <c r="I253" s="589">
        <f>IF(SUM(I210:K210)=0,1,AVERAGEIF(I210:K210,"&lt;&gt;0"))</f>
        <v>0.99946675934479945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0.99996911674218125</v>
      </c>
      <c r="N253" s="589">
        <f>IF(SUM(O210:T210)=0,0,SMALL(O210:T210,COUNTIF(O210:T210,0)+1))</f>
        <v>0.99505080275982671</v>
      </c>
      <c r="O253" s="589">
        <f t="shared" si="122"/>
        <v>0.99974632116778306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0.99996911674218125</v>
      </c>
      <c r="T253" s="589">
        <f>IF(SUM(I210:T210)=0,0,SMALL(I210:T210,COUNTIF(I210:T210,0)+1))</f>
        <v>0.99505080275982671</v>
      </c>
      <c r="U253" s="317">
        <f t="shared" si="124"/>
        <v>0.99925892727404941</v>
      </c>
      <c r="V253" s="568" t="s">
        <v>996</v>
      </c>
      <c r="W253" s="7"/>
      <c r="X253" s="14">
        <f t="shared" si="125"/>
        <v>0.99821902868595647</v>
      </c>
      <c r="Y253" s="14">
        <f t="shared" si="126"/>
        <v>0.99900086736219007</v>
      </c>
      <c r="Z253" s="14">
        <f t="shared" si="127"/>
        <v>0.99896743268687516</v>
      </c>
      <c r="AA253" s="14">
        <f t="shared" si="128"/>
        <v>0.99844085048388542</v>
      </c>
      <c r="AB253" s="14">
        <f t="shared" si="129"/>
        <v>0.99965171855623047</v>
      </c>
      <c r="AC253" s="14">
        <f t="shared" si="130"/>
        <v>0.99925892727404941</v>
      </c>
      <c r="AD253" s="14">
        <f t="shared" si="131"/>
        <v>0.99953948234380252</v>
      </c>
      <c r="AE253" s="14">
        <f t="shared" si="132"/>
        <v>0.99840123667832092</v>
      </c>
      <c r="AF253" s="14">
        <f t="shared" si="133"/>
        <v>0.99946675934479945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0.99973825521319293</v>
      </c>
      <c r="D254" s="589">
        <f>IF(SUM(N211:S211)=0,1,AVERAGEIF(N211:S211,"&lt;&gt;0"))</f>
        <v>0.99939573383261393</v>
      </c>
      <c r="E254" s="589">
        <f>IF(SUM(H211:S211)=0,1,AVERAGEIF(H211:S211,"&lt;&gt;0"))</f>
        <v>0.99942010897297651</v>
      </c>
      <c r="F254" s="589">
        <f>IF(SUM($C211:S211)=0,1,AVERAGEIF($C211:S211,"&lt;&gt;0"))</f>
        <v>0.99919164113079073</v>
      </c>
      <c r="G254" s="589">
        <f>IF(SUM(N211:P211)=0,1,AVERAGEIF(N211:P211,"&lt;&gt;0"))</f>
        <v>0.99905321245203493</v>
      </c>
      <c r="H254" s="589">
        <f>IF(SUM(K211:M211)=0,1,AVERAGEIF(K211:M211,"&lt;&gt;0"))</f>
        <v>0.99911546722418898</v>
      </c>
      <c r="I254" s="589">
        <f>IF(SUM(H211:J211)=0,1,AVERAGEIF(H211:J211,"&lt;&gt;0"))</f>
        <v>0.99977350100248952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0.99988779795408644</v>
      </c>
      <c r="N254" s="589">
        <f>IF(SUM(N211:S211)=0,0,SMALL(N211:S211,COUNTIF(N211:S211,0)+1))</f>
        <v>0.99863644428938425</v>
      </c>
      <c r="O254" s="589">
        <f t="shared" si="122"/>
        <v>0.99946254018805325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1</v>
      </c>
      <c r="T254" s="589">
        <f>IF(SUM(H211:S211)=0,0,SMALL(H211:S211,COUNTIF(H211:S211,0)+1))</f>
        <v>0.99838852238892339</v>
      </c>
      <c r="U254" s="317">
        <f t="shared" si="124"/>
        <v>0.99946527852867939</v>
      </c>
      <c r="V254" s="568" t="s">
        <v>997</v>
      </c>
      <c r="W254" s="7"/>
      <c r="X254" s="14">
        <f t="shared" si="125"/>
        <v>0.99973825521319293</v>
      </c>
      <c r="Y254" s="14">
        <f t="shared" si="126"/>
        <v>0.99939573383261393</v>
      </c>
      <c r="Z254" s="14">
        <f t="shared" si="127"/>
        <v>0.99942010897297651</v>
      </c>
      <c r="AA254" s="14">
        <f t="shared" si="128"/>
        <v>0.99919164113079073</v>
      </c>
      <c r="AB254" s="14">
        <f t="shared" si="129"/>
        <v>0.99946254018805325</v>
      </c>
      <c r="AC254" s="14">
        <f t="shared" si="130"/>
        <v>0.99946527852867939</v>
      </c>
      <c r="AD254" s="14">
        <f t="shared" si="131"/>
        <v>0.99905321245203493</v>
      </c>
      <c r="AE254" s="14">
        <f t="shared" si="132"/>
        <v>0.99911546722418898</v>
      </c>
      <c r="AF254" s="14">
        <f t="shared" si="133"/>
        <v>0.99977350100248952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0.99976950067543069</v>
      </c>
      <c r="D255" s="589">
        <f>IF(SUM(M212:R212)=0,1,AVERAGEIF(M212:R212,"&lt;&gt;0"))</f>
        <v>0.99942973865921692</v>
      </c>
      <c r="E255" s="589">
        <f>IF(SUM(G212:R212)=0,1,AVERAGEIF(G212:R212,"&lt;&gt;0"))</f>
        <v>0.99955806528685442</v>
      </c>
      <c r="F255" s="589">
        <f>IF(SUM($C212:R212)=0,1,AVERAGEIF($C212:R212,"&lt;&gt;0"))</f>
        <v>0.99924785653795511</v>
      </c>
      <c r="G255" s="589">
        <f>IF(SUM(M212:O212)=0,1,AVERAGEIF(M212:O212,"&lt;&gt;0"))</f>
        <v>0.99908997664300303</v>
      </c>
      <c r="H255" s="589">
        <f>IF(SUM(J212:L212)=0,1,AVERAGEIF(J212:L212,"&lt;&gt;0"))</f>
        <v>0.99946621885213782</v>
      </c>
      <c r="I255" s="589">
        <f>IF(SUM(G212:I212)=0,1,AVERAGEIF(G212:I212,"&lt;&gt;0"))</f>
        <v>0.99990656497684582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0.99987974608268093</v>
      </c>
      <c r="N255" s="589">
        <f>IF(SUM(M212:R212)=0,0,SMALL(M212:R212,COUNTIF(M212:R212,0)+1))</f>
        <v>0.99806444262980121</v>
      </c>
      <c r="O255" s="589">
        <f t="shared" si="122"/>
        <v>0.99965856081070481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1</v>
      </c>
      <c r="T255" s="589">
        <f>IF(SUM(G212:R212)=0,0,SMALL(G212:R212,COUNTIF(G212:R212,0)+1))</f>
        <v>0.99806444262980121</v>
      </c>
      <c r="U255" s="317">
        <f t="shared" si="124"/>
        <v>0.99966323408124524</v>
      </c>
      <c r="V255" s="568" t="s">
        <v>998</v>
      </c>
      <c r="W255" s="7"/>
      <c r="X255" s="14">
        <f t="shared" si="125"/>
        <v>0.99976950067543069</v>
      </c>
      <c r="Y255" s="14">
        <f t="shared" si="126"/>
        <v>0.99942973865921692</v>
      </c>
      <c r="Z255" s="14">
        <f t="shared" si="127"/>
        <v>0.99952312624555828</v>
      </c>
      <c r="AA255" s="14">
        <f t="shared" si="128"/>
        <v>0.9992045265682441</v>
      </c>
      <c r="AB255" s="14">
        <f t="shared" si="129"/>
        <v>0.99965856081070481</v>
      </c>
      <c r="AC255" s="14">
        <f t="shared" si="130"/>
        <v>0.99962471709936207</v>
      </c>
      <c r="AD255" s="14">
        <f t="shared" si="131"/>
        <v>0.99908997664300303</v>
      </c>
      <c r="AE255" s="14">
        <f t="shared" si="132"/>
        <v>0.99943627458829987</v>
      </c>
      <c r="AF255" s="14">
        <f t="shared" si="133"/>
        <v>0.9997037482914809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0.9998685147030737</v>
      </c>
      <c r="D256" s="589">
        <f>IF(SUM(L213:Q213)=0,1,AVERAGEIF(L213:Q213,"&lt;&gt;0"))</f>
        <v>0.99956919011361833</v>
      </c>
      <c r="E256" s="589">
        <f>IF(SUM(F213:Q213)=0,1,AVERAGEIF(F213:Q213,"&lt;&gt;0"))</f>
        <v>0.99945325182675226</v>
      </c>
      <c r="F256" s="589">
        <f>IF(SUM($C213:Q213)=0,1,AVERAGEIF($C213:Q213,"&lt;&gt;0"))</f>
        <v>0.99911787226543913</v>
      </c>
      <c r="G256" s="589">
        <f>IF(SUM(L213:N213)=0,1,AVERAGEIF(L213:N213,"&lt;&gt;0"))</f>
        <v>0.99926986552416308</v>
      </c>
      <c r="H256" s="589">
        <f>IF(SUM(I213:K213)=0,1,AVERAGEIF(I213:K213,"&lt;&gt;0"))</f>
        <v>0.99937638875201051</v>
      </c>
      <c r="I256" s="589">
        <f>IF(SUM(F213:H213)=0,1,AVERAGEIF(F213:H213,"&lt;&gt;0"))</f>
        <v>0.99929823832776166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0.99996471451946123</v>
      </c>
      <c r="N256" s="589">
        <f>IF(SUM(L213:Q213)=0,0,SMALL(L213:Q213,COUNTIF(L213:Q213,0)+1))</f>
        <v>0.99819066969949044</v>
      </c>
      <c r="O256" s="589">
        <f t="shared" si="122"/>
        <v>0.99981493911568964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1</v>
      </c>
      <c r="T256" s="589">
        <f>IF(SUM(F213:Q213)=0,0,SMALL(F213:Q213,COUNTIF(F213:Q213,0)+1))</f>
        <v>0.99796214604391043</v>
      </c>
      <c r="U256" s="317">
        <f t="shared" si="124"/>
        <v>0.99954768758771162</v>
      </c>
      <c r="V256" s="568" t="s">
        <v>999</v>
      </c>
      <c r="W256" s="7"/>
      <c r="X256" s="14">
        <f t="shared" si="125"/>
        <v>0.99974466728572287</v>
      </c>
      <c r="Y256" s="14">
        <f t="shared" si="126"/>
        <v>0.99956919011361833</v>
      </c>
      <c r="Z256" s="14">
        <f t="shared" si="127"/>
        <v>0.99945325182675226</v>
      </c>
      <c r="AA256" s="14">
        <f t="shared" si="128"/>
        <v>0.99911787226543913</v>
      </c>
      <c r="AB256" s="14">
        <f t="shared" si="129"/>
        <v>0.99979631606323827</v>
      </c>
      <c r="AC256" s="14">
        <f t="shared" si="130"/>
        <v>0.99954768758771162</v>
      </c>
      <c r="AD256" s="14">
        <f t="shared" si="131"/>
        <v>0.99926986552416308</v>
      </c>
      <c r="AE256" s="14">
        <f t="shared" si="132"/>
        <v>0.99937638875201051</v>
      </c>
      <c r="AF256" s="14">
        <f t="shared" si="133"/>
        <v>0.99929823832776166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0.99949701846972039</v>
      </c>
      <c r="D257" s="589">
        <f>IF(SUM(K214:P214)=0,1,AVERAGEIF(K214:P214,"&lt;&gt;0"))</f>
        <v>0.99965022183767127</v>
      </c>
      <c r="E257" s="589">
        <f>IF(SUM(E214:P214)=0,1,AVERAGEIF(E214:P214,"&lt;&gt;0"))</f>
        <v>0.99963120998922017</v>
      </c>
      <c r="F257" s="589">
        <f>IF(SUM($C214:P214)=0,1,AVERAGEIF($C214:P214,"&lt;&gt;0"))</f>
        <v>0.99964718402666997</v>
      </c>
      <c r="G257" s="589">
        <f>IF(SUM(K214:M214)=0,1,AVERAGEIF(K214:M214,"&lt;&gt;0"))</f>
        <v>0.99980342520562215</v>
      </c>
      <c r="H257" s="589">
        <f>IF(SUM(H214:J214)=0,1,AVERAGEIF(H214:J214,"&lt;&gt;0"))</f>
        <v>0.99989980740369033</v>
      </c>
      <c r="I257" s="589">
        <f>IF(SUM(E214:G214)=0,1,AVERAGEIF(E214:G214,"&lt;&gt;0"))</f>
        <v>0.99932458887784748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1</v>
      </c>
      <c r="N257" s="589">
        <f>IF(SUM(K214:P214)=0,0,SMALL(K214:P214,COUNTIF(K214:P214,0)+1))</f>
        <v>0.99886504703012358</v>
      </c>
      <c r="O257" s="589">
        <f t="shared" si="122"/>
        <v>0.99975907099897598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1</v>
      </c>
      <c r="T257" s="589">
        <f>IF(SUM(E214:P214)=0,0,SMALL(E214:P214,COUNTIF(E214:P214,0)+1))</f>
        <v>0.99805091919958622</v>
      </c>
      <c r="U257" s="317">
        <f t="shared" si="124"/>
        <v>0.99975236006710555</v>
      </c>
      <c r="V257" s="568" t="s">
        <v>1000</v>
      </c>
      <c r="W257" s="7"/>
      <c r="X257" s="14">
        <f t="shared" si="125"/>
        <v>0.99944754980570272</v>
      </c>
      <c r="Y257" s="14">
        <f t="shared" si="126"/>
        <v>0.99961872245103356</v>
      </c>
      <c r="Z257" s="14">
        <f t="shared" si="127"/>
        <v>0.99953273533739295</v>
      </c>
      <c r="AA257" s="14">
        <f t="shared" si="128"/>
        <v>0.99955889661832387</v>
      </c>
      <c r="AB257" s="14">
        <f t="shared" si="129"/>
        <v>0.99974551141275181</v>
      </c>
      <c r="AC257" s="14">
        <f t="shared" si="130"/>
        <v>0.9996453420576924</v>
      </c>
      <c r="AD257" s="14">
        <f t="shared" si="131"/>
        <v>0.99978989445000432</v>
      </c>
      <c r="AE257" s="14">
        <f t="shared" si="132"/>
        <v>0.99978794102117052</v>
      </c>
      <c r="AF257" s="14">
        <f t="shared" si="133"/>
        <v>0.99910553171346284</v>
      </c>
      <c r="AH257" s="212"/>
      <c r="AI257" s="212"/>
      <c r="AJ257" s="212"/>
      <c r="AK257" s="212"/>
      <c r="AL257" s="212"/>
      <c r="AM257" s="141">
        <f>+G281</f>
        <v>0.18314647642119239</v>
      </c>
      <c r="AN257" s="141">
        <f>+D281</f>
        <v>0.18712228308054071</v>
      </c>
      <c r="AO257" s="141">
        <f>+D281</f>
        <v>0.18712228308054071</v>
      </c>
      <c r="AP257" s="141">
        <f>+X281</f>
        <v>0.17812149387791223</v>
      </c>
      <c r="AQ257" s="141">
        <f>+AA281</f>
        <v>0.17804063483658311</v>
      </c>
      <c r="AR257" s="141">
        <f>+AD281</f>
        <v>0.19186216176496881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0.99934861982268675</v>
      </c>
      <c r="D258" s="589">
        <f>IF(SUM(J215:O215)=0,1,AVERAGEIF(J215:O215,"&lt;&gt;0"))</f>
        <v>0.99955572665540238</v>
      </c>
      <c r="E258" s="589">
        <f>IF(SUM(D215:O215)=0,1,AVERAGEIF(D215:O215,"&lt;&gt;0"))</f>
        <v>0.9993358151352868</v>
      </c>
      <c r="F258" s="589">
        <f>IF(SUM($C215:O215)=0,1,AVERAGEIF($C215:O215,"&lt;&gt;0"))</f>
        <v>0.99938234519319569</v>
      </c>
      <c r="G258" s="589">
        <f>IF(SUM(J215:L215)=0,1,AVERAGEIF(J215:L215,"&lt;&gt;0"))</f>
        <v>0.99976283348811812</v>
      </c>
      <c r="H258" s="589">
        <f>IF(SUM(G215:I215)=0,1,AVERAGEIF(G215:I215,"&lt;&gt;0"))</f>
        <v>0.9995642458007552</v>
      </c>
      <c r="I258" s="589">
        <f>IF(SUM(D215:F215)=0,1,AVERAGEIF(D215:F215,"&lt;&gt;0"))</f>
        <v>0.99866756142958801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1</v>
      </c>
      <c r="N258" s="589">
        <f>IF(SUM(J215:O215)=0,0,SMALL(J215:O215,COUNTIF(J215:O215,0)+1))</f>
        <v>0.99846078876432964</v>
      </c>
      <c r="O258" s="589">
        <f t="shared" si="122"/>
        <v>0.99971839279202113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1</v>
      </c>
      <c r="T258" s="589">
        <f>IF(SUM(D215:O215)=0,0,SMALL(D215:O215,COUNTIF(D215:O215,0)+1))</f>
        <v>0.99771637757630693</v>
      </c>
      <c r="U258" s="317">
        <f t="shared" si="124"/>
        <v>0.99943134040471349</v>
      </c>
      <c r="V258" s="568" t="s">
        <v>1001</v>
      </c>
      <c r="W258" s="7"/>
      <c r="X258" s="14">
        <f t="shared" ref="X258:X269" si="137">IF((C258&gt;C259),MIN((C258^2*C259)^(1/3),1),MIN(C258,1))</f>
        <v>0.99868476171374154</v>
      </c>
      <c r="Y258" s="14">
        <f t="shared" ref="Y258:Y269" si="138">IF((D258&gt;D259),MIN((D258^2*D259)^(1/3),1),MIN(D258,1))</f>
        <v>0.99916388621971208</v>
      </c>
      <c r="Z258" s="14">
        <f t="shared" ref="Z258:Z269" si="139">IF((E258&gt;E259),MIN((E258^2*E259)^(1/3),1),MIN(E258,1))</f>
        <v>0.99923464380701432</v>
      </c>
      <c r="AA258" s="14">
        <f t="shared" ref="AA258:AA269" si="140">IF((F258&gt;F259),MIN((F258^2*F259)^(1/3),1),MIN(F258,1))</f>
        <v>0.99926566046450471</v>
      </c>
      <c r="AB258" s="14">
        <f t="shared" ref="AB258:AB269" si="141">IF((O258&gt;O259),MIN((O258^2*O259)^(1/3),1),MIN(O258,1))</f>
        <v>0.99956700582357061</v>
      </c>
      <c r="AC258" s="14">
        <f t="shared" ref="AC258:AC269" si="142">IF((U258&gt;U259),MIN((U258^2*U259)^(1/3),1),MIN(U258,1))</f>
        <v>0.99943134040471349</v>
      </c>
      <c r="AD258" s="14">
        <f t="shared" ref="AD258:AD269" si="143">IF((G258&gt;G259),MIN((G258^2*G259)^(1/3),1),MIN(G258,1))</f>
        <v>0.99964286260683444</v>
      </c>
      <c r="AE258" s="14">
        <f t="shared" ref="AE258:AE269" si="144">IF((H258&gt;H259),MIN((H258^2*H259)^(1/3),1),MIN(H258,1))</f>
        <v>0.9995642458007552</v>
      </c>
      <c r="AF258" s="14">
        <f t="shared" ref="AF258:AF269" si="145">IF((I258&gt;I259),MIN((I258^2*I259)^(1/3),1),MIN(I258,1))</f>
        <v>0.99866756142958801</v>
      </c>
      <c r="AH258" s="212"/>
      <c r="AI258" s="212"/>
      <c r="AJ258" s="212"/>
      <c r="AK258" s="212"/>
      <c r="AL258" s="212"/>
      <c r="AM258" s="141">
        <f>+G282</f>
        <v>0.64704436033936741</v>
      </c>
      <c r="AN258" s="141">
        <f>+D282</f>
        <v>0.62128215577858903</v>
      </c>
      <c r="AO258" s="141">
        <f>+D282</f>
        <v>0.62128215577858903</v>
      </c>
      <c r="AP258" s="141">
        <f>+X282</f>
        <v>0.67237356245875224</v>
      </c>
      <c r="AQ258" s="141">
        <f>+AA282</f>
        <v>0.67256663053963872</v>
      </c>
      <c r="AR258" s="141">
        <f>+AD282</f>
        <v>0.70007843205284692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0.99735836818743451</v>
      </c>
      <c r="D259" s="593">
        <f>IF(SUM(I216:N216)=0,1,AVERAGEIF(I216:N216,"&lt;&gt;0"))</f>
        <v>0.99838066610962706</v>
      </c>
      <c r="E259" s="593">
        <f>IF(SUM(C216:N216)=0,1,AVERAGEIF(C216:N216,"&lt;&gt;0"))</f>
        <v>0.99903233187675411</v>
      </c>
      <c r="F259" s="593">
        <f>IF(SUM(C216:N216)=0,1,AVERAGEIF(C216:N216,"&lt;&gt;0"))</f>
        <v>0.99903233187675411</v>
      </c>
      <c r="G259" s="593">
        <f>IF(SUM(I216:K216)=0,1,AVERAGEIF(I216:K216,"&lt;&gt;0"))</f>
        <v>0.99940296403181972</v>
      </c>
      <c r="H259" s="593">
        <f>IF(SUM(F216:H216)=0,1,AVERAGEIF(F216:H216,"&lt;&gt;0"))</f>
        <v>0.99997847528924666</v>
      </c>
      <c r="I259" s="589">
        <f>IF(SUM(C216:E216)=0,1,AVERAGEIF(C216:E216,"&lt;&gt;0"))</f>
        <v>0.99938951999851533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1</v>
      </c>
      <c r="N259" s="593">
        <f>IF(SUM(I216:N216)=0,0,SMALL(I216:N216,COUNTIF(I216:N216,0)+1))</f>
        <v>0.99322679403133107</v>
      </c>
      <c r="O259" s="589">
        <f t="shared" si="122"/>
        <v>0.99926430065660776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1</v>
      </c>
      <c r="T259" s="593">
        <f>IF(SUM(C216:N216)=0,0,SMALL(C216:N216,COUNTIF(C216:N216,0)+1))</f>
        <v>0.99322679403133107</v>
      </c>
      <c r="U259" s="317">
        <f t="shared" si="124"/>
        <v>0.99951611884897174</v>
      </c>
      <c r="V259" s="568" t="s">
        <v>1043</v>
      </c>
      <c r="W259" s="7"/>
      <c r="X259" s="14">
        <f t="shared" si="137"/>
        <v>0.99735836818743451</v>
      </c>
      <c r="Y259" s="14">
        <f t="shared" si="138"/>
        <v>0.99838066610962706</v>
      </c>
      <c r="Z259" s="14">
        <f t="shared" si="139"/>
        <v>0.99903233187675411</v>
      </c>
      <c r="AA259" s="14">
        <f t="shared" si="140"/>
        <v>0.99903233187675411</v>
      </c>
      <c r="AB259" s="14">
        <f t="shared" si="141"/>
        <v>0.99926430065660776</v>
      </c>
      <c r="AC259" s="14">
        <f t="shared" si="142"/>
        <v>0.99951611884897174</v>
      </c>
      <c r="AD259" s="14">
        <f t="shared" si="143"/>
        <v>0.99940296403181972</v>
      </c>
      <c r="AE259" s="14">
        <f t="shared" si="144"/>
        <v>0.99982781091053496</v>
      </c>
      <c r="AF259" s="14">
        <f t="shared" si="145"/>
        <v>0.99927727553583556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0.99985104393739188</v>
      </c>
      <c r="D260" s="593">
        <f>IF(SUM(H217:M217)=0,1,AVERAGEIF(H217:M217,"&lt;&gt;0"))</f>
        <v>0.99985466864802242</v>
      </c>
      <c r="E260" s="600">
        <f>IF(SUM(C217:M217)=0,1,AVERAGEIF(C217:M217,"&lt;&gt;0"))</f>
        <v>0.99961939195423755</v>
      </c>
      <c r="F260" s="600">
        <f>IF(SUM(C217:M217)=0,1,AVERAGEIF(C217:M217,"&lt;&gt;0"))</f>
        <v>0.99961939195423755</v>
      </c>
      <c r="G260" s="593">
        <f>IF(SUM(H217:J217)=0,1,AVERAGEIF(H217:J217,"&lt;&gt;0"))</f>
        <v>0.99985829335865306</v>
      </c>
      <c r="H260" s="593">
        <f>IF(SUM(E217:G217)=0,1,AVERAGEIF(E217:G217,"&lt;&gt;0"))</f>
        <v>0.99952655025042236</v>
      </c>
      <c r="I260" s="600">
        <f>IF(SUM(C217:D217)=0,1,AVERAGEIF(C217:D217,"&lt;&gt;0"))</f>
        <v>0.99905282442860632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0.99955313181217542</v>
      </c>
      <c r="O260" s="589">
        <f t="shared" si="122"/>
        <v>0.9998937200189898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0.99826879510998368</v>
      </c>
      <c r="U260" s="317">
        <f t="shared" si="124"/>
        <v>0.99972716848740317</v>
      </c>
      <c r="V260" s="568" t="s">
        <v>1044</v>
      </c>
      <c r="W260" s="7"/>
      <c r="X260" s="14">
        <f t="shared" si="137"/>
        <v>0.99985104393739188</v>
      </c>
      <c r="Y260" s="14">
        <f t="shared" si="138"/>
        <v>0.99985466864802242</v>
      </c>
      <c r="Z260" s="14">
        <f t="shared" si="139"/>
        <v>0.99961939195423755</v>
      </c>
      <c r="AA260" s="14">
        <f t="shared" si="140"/>
        <v>0.99961939195423755</v>
      </c>
      <c r="AB260" s="14">
        <f t="shared" si="141"/>
        <v>0.9998937200189898</v>
      </c>
      <c r="AC260" s="14">
        <f t="shared" si="142"/>
        <v>0.99972716848740317</v>
      </c>
      <c r="AD260" s="14">
        <f t="shared" si="143"/>
        <v>0.99985829335865306</v>
      </c>
      <c r="AE260" s="14">
        <f t="shared" si="144"/>
        <v>0.99952655025042236</v>
      </c>
      <c r="AF260" s="14">
        <f t="shared" si="145"/>
        <v>0.99905282442860632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1.000048340673761</v>
      </c>
      <c r="D261" s="593">
        <f>IF(SUM(G218:L218)=0,1,AVERAGEIF(G218:L218,"&lt;&gt;0"))</f>
        <v>0.99999475279097572</v>
      </c>
      <c r="E261" s="600">
        <f>IF(SUM(C218:L218)=0,1,AVERAGEIF(C218:L218,"&lt;&gt;0"))</f>
        <v>0.99995497290710544</v>
      </c>
      <c r="F261" s="600">
        <f>IF(SUM(C218:L218)=0,1,AVERAGEIF(C218:L218,"&lt;&gt;0"))</f>
        <v>0.99995497290710544</v>
      </c>
      <c r="G261" s="593">
        <f>IF(SUM(G218:I218)=0,1,AVERAGEIF(G218:I218,"&lt;&gt;0"))</f>
        <v>0.99994116490819029</v>
      </c>
      <c r="H261" s="593">
        <f>IF(SUM(D218:F218)=0,1,AVERAGEIF(D218:F218,"&lt;&gt;0"))</f>
        <v>0.99998959955709943</v>
      </c>
      <c r="I261" s="600">
        <f t="shared" ref="I261:I270" si="148">IF(SUM(C218:C218)=0,1,AVERAGEIF(C218:C218,"&lt;&gt;0"))</f>
        <v>0.99961241365390174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1.0005491840324896</v>
      </c>
      <c r="N261" s="593">
        <f>IF(SUM(G218:L218)=0,0,SMALL(G218:L218,COUNTIF(G218:L218,0)+1))</f>
        <v>0.99977479274797443</v>
      </c>
      <c r="O261" s="589">
        <f t="shared" si="122"/>
        <v>0.99991113499134743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1.0005491840324896</v>
      </c>
      <c r="T261" s="600">
        <f>IF(SUM(C218:L218)=0,0,SMALL(C218:L218,COUNTIF(C218:L218,0)+1))</f>
        <v>0.99961241365390174</v>
      </c>
      <c r="U261" s="317">
        <f t="shared" si="124"/>
        <v>0.99992351642308286</v>
      </c>
      <c r="V261" s="568" t="s">
        <v>1045</v>
      </c>
      <c r="W261" s="7"/>
      <c r="X261" s="14">
        <f t="shared" si="137"/>
        <v>1</v>
      </c>
      <c r="Y261" s="14">
        <f t="shared" si="138"/>
        <v>0.99999475279097572</v>
      </c>
      <c r="Z261" s="14">
        <f t="shared" si="139"/>
        <v>0.99995497290710544</v>
      </c>
      <c r="AA261" s="14">
        <f t="shared" si="140"/>
        <v>0.99995497290710544</v>
      </c>
      <c r="AB261" s="14">
        <f t="shared" si="141"/>
        <v>0.99991113499134743</v>
      </c>
      <c r="AC261" s="14">
        <f t="shared" si="142"/>
        <v>0.99992351642308286</v>
      </c>
      <c r="AD261" s="14">
        <f t="shared" si="143"/>
        <v>0.99994116490819029</v>
      </c>
      <c r="AE261" s="14">
        <f t="shared" si="144"/>
        <v>0.99998370467802111</v>
      </c>
      <c r="AF261" s="14">
        <f t="shared" si="145"/>
        <v>0.99961241365390174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1.0005083545929081</v>
      </c>
      <c r="D262" s="593">
        <f>IF(SUM(F219:K219)=0,1,AVERAGEIF(F219:K219,"&lt;&gt;0"))</f>
        <v>1.0002283394088292</v>
      </c>
      <c r="E262" s="600">
        <f>IF(SUM(C219:K219)=0,1,AVERAGEIF(C219:K219,"&lt;&gt;0"))</f>
        <v>1.0001428646139241</v>
      </c>
      <c r="F262" s="600">
        <f>IF(SUM(C219:K219)=0,1,AVERAGEIF(C219:K219,"&lt;&gt;0"))</f>
        <v>1.0001428646139241</v>
      </c>
      <c r="G262" s="593">
        <f>IF(SUM(F219:H219)=0,1,AVERAGEIF(F219:H219,"&lt;&gt;0"))</f>
        <v>0.99994832422475033</v>
      </c>
      <c r="H262" s="593">
        <f>IF(SUM(C219:E219)=0,1,AVERAGEIF(C219:E219,"&lt;&gt;0"))</f>
        <v>0.99997191502411409</v>
      </c>
      <c r="I262" s="600">
        <f t="shared" si="148"/>
        <v>0.99992806525381595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1.0018484416904379</v>
      </c>
      <c r="N262" s="593">
        <f>IF(SUM(F219:K219)=0,0,SMALL(F219:K219,COUNTIF(F219:K219,0)+1))</f>
        <v>0.99967662208828612</v>
      </c>
      <c r="O262" s="589">
        <f t="shared" si="122"/>
        <v>0.99996124316856283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1.0018484416904379</v>
      </c>
      <c r="T262" s="600">
        <f>IF(SUM(C219:K219)=0,0,SMALL(C219:K219,COUNTIF(C219:K219,0)+1))</f>
        <v>0.99967662208828612</v>
      </c>
      <c r="U262" s="317">
        <f t="shared" si="124"/>
        <v>0.99996581682094188</v>
      </c>
      <c r="V262" s="568" t="s">
        <v>1046</v>
      </c>
      <c r="W262" s="7"/>
      <c r="X262" s="14">
        <f t="shared" si="137"/>
        <v>1</v>
      </c>
      <c r="Y262" s="14">
        <f t="shared" si="138"/>
        <v>1</v>
      </c>
      <c r="Z262" s="14">
        <f t="shared" si="139"/>
        <v>1</v>
      </c>
      <c r="AA262" s="14">
        <f t="shared" si="140"/>
        <v>1</v>
      </c>
      <c r="AB262" s="14">
        <f t="shared" si="141"/>
        <v>0.99991139180091904</v>
      </c>
      <c r="AC262" s="14">
        <f t="shared" si="142"/>
        <v>0.99993462334630479</v>
      </c>
      <c r="AD262" s="14">
        <f t="shared" si="143"/>
        <v>0.99982080394120576</v>
      </c>
      <c r="AE262" s="14">
        <f t="shared" si="144"/>
        <v>0.99997191502411409</v>
      </c>
      <c r="AF262" s="14">
        <f t="shared" si="145"/>
        <v>0.99992806525381595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0.99983658229856864</v>
      </c>
      <c r="D263" s="593">
        <f>IF(SUM(E220:J220)=0,1,AVERAGEIF(E220:J220,"&lt;&gt;0"))</f>
        <v>0.99970119722870032</v>
      </c>
      <c r="E263" s="600">
        <f>IF(SUM(C220:J220)=0,1,AVERAGEIF(C220:J220,"&lt;&gt;0"))</f>
        <v>0.9997742291480376</v>
      </c>
      <c r="F263" s="600">
        <f>IF(SUM(C220:J220)=0,1,AVERAGEIF(C220:J220,"&lt;&gt;0"))</f>
        <v>0.9997742291480376</v>
      </c>
      <c r="G263" s="593">
        <f>IF(SUM(E220:G220)=0,1,AVERAGEIF(E220:G220,"&lt;&gt;0"))</f>
        <v>0.99956581215883189</v>
      </c>
      <c r="H263" s="600">
        <f>IF(SUM(C220:D220)=0,1,AVERAGEIF(C220:D220,"&lt;&gt;0"))</f>
        <v>0.99999332490604953</v>
      </c>
      <c r="I263" s="600">
        <f t="shared" si="148"/>
        <v>1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0.9989603972871095</v>
      </c>
      <c r="O263" s="589">
        <f t="shared" si="122"/>
        <v>0.99981169652127311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0.9989603972871095</v>
      </c>
      <c r="U263" s="317">
        <f t="shared" si="124"/>
        <v>0.99987223931619862</v>
      </c>
      <c r="V263" s="568" t="s">
        <v>1047</v>
      </c>
      <c r="W263" s="7"/>
      <c r="X263" s="14">
        <f t="shared" si="137"/>
        <v>0.9997791440593734</v>
      </c>
      <c r="Y263" s="14">
        <f t="shared" si="138"/>
        <v>0.99968782134690559</v>
      </c>
      <c r="Z263" s="14">
        <f t="shared" si="139"/>
        <v>0.999750200752204</v>
      </c>
      <c r="AA263" s="14">
        <f t="shared" si="140"/>
        <v>0.999750200752204</v>
      </c>
      <c r="AB263" s="14">
        <f t="shared" si="141"/>
        <v>0.9997875614771935</v>
      </c>
      <c r="AC263" s="14">
        <f t="shared" si="142"/>
        <v>0.99984187673394687</v>
      </c>
      <c r="AD263" s="14">
        <f t="shared" si="143"/>
        <v>0.99956581215883189</v>
      </c>
      <c r="AE263" s="14">
        <f t="shared" si="144"/>
        <v>0.99997841609167282</v>
      </c>
      <c r="AF263" s="14">
        <f t="shared" si="145"/>
        <v>0.99998286608301012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0.99966427747986486</v>
      </c>
      <c r="D264" s="593">
        <f>IF(SUM(D221:I221)=0,1,AVERAGEIF(D221:I221,"&lt;&gt;0"))</f>
        <v>0.99966107012021688</v>
      </c>
      <c r="E264" s="600">
        <f>IF(SUM(C221:I221)=0,1,AVERAGEIF(C221:I221,"&lt;&gt;0"))</f>
        <v>0.99970214569300553</v>
      </c>
      <c r="F264" s="600">
        <f>IF(SUM(C221:I221)=0,1,AVERAGEIF(C221:I221,"&lt;&gt;0"))</f>
        <v>0.99970214569300553</v>
      </c>
      <c r="G264" s="593">
        <f>IF(SUM(D221:F221)=0,1,AVERAGEIF(D221:F221,"&lt;&gt;0"))</f>
        <v>0.99965786276056878</v>
      </c>
      <c r="H264" s="600">
        <f t="shared" ref="H264:H270" si="149">IF(SUM(C221:C221)=0,1,AVERAGEIF(C221:C221,"&lt;&gt;0"))</f>
        <v>0.99994859912973877</v>
      </c>
      <c r="I264" s="600">
        <f t="shared" si="148"/>
        <v>0.99994859912973877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1.0000356598921927</v>
      </c>
      <c r="N264" s="593">
        <f>IF(SUM(D221:I221)=0,0,SMALL(D221:I221,COUNTIF(D221:I221,0)+1))</f>
        <v>0.99897358828170635</v>
      </c>
      <c r="O264" s="589">
        <f t="shared" si="122"/>
        <v>0.9997392931368505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1.0000356598921927</v>
      </c>
      <c r="T264" s="600">
        <f>IF(SUM(C221:I221)=0,0,SMALL(C221:I221,COUNTIF(C221:I221,0)+1))</f>
        <v>0.99897358828170635</v>
      </c>
      <c r="U264" s="317">
        <f t="shared" si="124"/>
        <v>0.99978115433542791</v>
      </c>
      <c r="V264" s="568" t="s">
        <v>1048</v>
      </c>
      <c r="W264" s="7"/>
      <c r="X264" s="14">
        <f t="shared" si="137"/>
        <v>0.99966427747986486</v>
      </c>
      <c r="Y264" s="14">
        <f t="shared" si="138"/>
        <v>0.99966107012021688</v>
      </c>
      <c r="Z264" s="14">
        <f t="shared" si="139"/>
        <v>0.99970214569300553</v>
      </c>
      <c r="AA264" s="14">
        <f t="shared" si="140"/>
        <v>0.99970214569300553</v>
      </c>
      <c r="AB264" s="14">
        <f t="shared" si="141"/>
        <v>0.9997392931368505</v>
      </c>
      <c r="AC264" s="14">
        <f t="shared" si="142"/>
        <v>0.99978115433542791</v>
      </c>
      <c r="AD264" s="14">
        <f t="shared" si="143"/>
        <v>0.99965786276056878</v>
      </c>
      <c r="AE264" s="14">
        <f t="shared" si="144"/>
        <v>0.99994859912973877</v>
      </c>
      <c r="AF264" s="14">
        <f t="shared" si="145"/>
        <v>0.99994859912973877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0.99973675041155774</v>
      </c>
      <c r="D265" s="593">
        <f>IF(SUM(C222:H222)=0,1,AVERAGEIF(C222:H222,"&lt;&gt;0"))</f>
        <v>0.9997426791483609</v>
      </c>
      <c r="E265" s="600">
        <f>IF(SUM(C222:H222)=0,1,AVERAGEIF(C222:H222,"&lt;&gt;0"))</f>
        <v>0.9997426791483609</v>
      </c>
      <c r="F265" s="600">
        <f>IF(SUM(C222:H222)=0,1,AVERAGEIF(C222:H222,"&lt;&gt;0"))</f>
        <v>0.9997426791483609</v>
      </c>
      <c r="G265" s="593">
        <f>IF(SUM(C222:E222)=0,1,AVERAGEIF(C222:E222,"&lt;&gt;0"))</f>
        <v>0.99974860788516395</v>
      </c>
      <c r="H265" s="600">
        <f t="shared" si="149"/>
        <v>1</v>
      </c>
      <c r="I265" s="600">
        <f t="shared" si="148"/>
        <v>1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0.99924582365549197</v>
      </c>
      <c r="O265" s="589">
        <f t="shared" si="122"/>
        <v>0.9998025628086683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0.99924582365549197</v>
      </c>
      <c r="U265" s="317">
        <f t="shared" si="124"/>
        <v>0.9998025628086683</v>
      </c>
      <c r="V265" s="568" t="s">
        <v>1049</v>
      </c>
      <c r="W265" s="7"/>
      <c r="X265" s="14">
        <f t="shared" si="137"/>
        <v>0.99967920131974963</v>
      </c>
      <c r="Y265" s="14">
        <f t="shared" si="138"/>
        <v>0.99974127537845336</v>
      </c>
      <c r="Z265" s="14">
        <f t="shared" si="139"/>
        <v>0.99974127537845336</v>
      </c>
      <c r="AA265" s="14">
        <f t="shared" si="140"/>
        <v>0.99974127537845336</v>
      </c>
      <c r="AB265" s="14">
        <f t="shared" si="141"/>
        <v>0.9998025628086683</v>
      </c>
      <c r="AC265" s="14">
        <f t="shared" si="142"/>
        <v>0.9998025628086683</v>
      </c>
      <c r="AD265" s="14">
        <f t="shared" si="143"/>
        <v>0.99974860788516395</v>
      </c>
      <c r="AE265" s="14">
        <f t="shared" si="144"/>
        <v>1</v>
      </c>
      <c r="AF265" s="14">
        <f t="shared" si="145"/>
        <v>1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0.99956411307425286</v>
      </c>
      <c r="D266" s="600">
        <f>IF(SUM(C223:G223)=0,1,AVERAGEIF(C223:G223,"&lt;&gt;0"))</f>
        <v>0.99973846784455167</v>
      </c>
      <c r="E266" s="600">
        <f>IF(SUM(C223:G223)=0,1,AVERAGEIF(C223:G223,"&lt;&gt;0"))</f>
        <v>0.99973846784455167</v>
      </c>
      <c r="F266" s="600">
        <f>IF(SUM(C223:G223)=0,1,AVERAGEIF(C223:G223,"&lt;&gt;0"))</f>
        <v>0.99973846784455167</v>
      </c>
      <c r="G266" s="600">
        <f>IF(SUM(C223:D223)=0,1,AVERAGEIF(C223:D223,"&lt;&gt;0"))</f>
        <v>1</v>
      </c>
      <c r="H266" s="600">
        <f t="shared" si="149"/>
        <v>1</v>
      </c>
      <c r="I266" s="600">
        <f t="shared" si="148"/>
        <v>1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</v>
      </c>
      <c r="N266" s="600">
        <f>IF(SUM(C223:G223)=0,0,SMALL(C223:G223,COUNTIF(C223:G223,0)+1))</f>
        <v>0.99872313062616758</v>
      </c>
      <c r="O266" s="589">
        <f t="shared" si="122"/>
        <v>0.99998973619886355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</v>
      </c>
      <c r="T266" s="600">
        <f>IF(SUM(C223:G223)=0,0,SMALL(C223:G223,COUNTIF(C223:G223,0)+1))</f>
        <v>0.99872313062616758</v>
      </c>
      <c r="U266" s="317">
        <f t="shared" si="124"/>
        <v>0.99998973619886355</v>
      </c>
      <c r="V266" s="568" t="s">
        <v>1050</v>
      </c>
      <c r="W266" s="7"/>
      <c r="X266" s="14">
        <f t="shared" si="137"/>
        <v>0.99952113842628121</v>
      </c>
      <c r="Y266" s="14">
        <f t="shared" si="138"/>
        <v>0.99968444097837184</v>
      </c>
      <c r="Z266" s="14">
        <f t="shared" si="139"/>
        <v>0.99968444097837184</v>
      </c>
      <c r="AA266" s="14">
        <f t="shared" si="140"/>
        <v>0.99968444097837184</v>
      </c>
      <c r="AB266" s="14">
        <f t="shared" si="141"/>
        <v>0.9999832390219906</v>
      </c>
      <c r="AC266" s="14">
        <f t="shared" si="142"/>
        <v>0.9999832390219906</v>
      </c>
      <c r="AD266" s="14">
        <f t="shared" si="143"/>
        <v>1</v>
      </c>
      <c r="AE266" s="14">
        <f t="shared" si="144"/>
        <v>1</v>
      </c>
      <c r="AF266" s="14">
        <f t="shared" si="145"/>
        <v>1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0.9994351946731358</v>
      </c>
      <c r="D267" s="600">
        <f>IF(SUM(C224:F224)=0,1,AVERAGEIF(C224:F224,"&lt;&gt;0"))</f>
        <v>0.99957639600485182</v>
      </c>
      <c r="E267" s="600">
        <f>IF(SUM(C224:F224)=0,1,AVERAGEIF(C224:F224,"&lt;&gt;0"))</f>
        <v>0.99957639600485182</v>
      </c>
      <c r="F267" s="600">
        <f>IF(SUM(C224:F224)=0,1,AVERAGEIF(C224:F224,"&lt;&gt;0"))</f>
        <v>0.99957639600485182</v>
      </c>
      <c r="G267" s="600">
        <f>IF(SUM(C224:C224)=0,1,AVERAGEIF(C224:C224,"&lt;&gt;0"))</f>
        <v>1</v>
      </c>
      <c r="H267" s="600">
        <f t="shared" si="149"/>
        <v>1</v>
      </c>
      <c r="I267" s="600">
        <f t="shared" si="148"/>
        <v>1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1</v>
      </c>
      <c r="N267" s="600">
        <f>IF(SUM(C224:F224)=0,0,SMALL(C224:F224,COUNTIF(C224:F224,0)+1))</f>
        <v>0.99836509442963617</v>
      </c>
      <c r="O267" s="589">
        <f t="shared" si="122"/>
        <v>0.9999702447948855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1</v>
      </c>
      <c r="T267" s="600">
        <f>IF(SUM(C224:F224)=0,0,SMALL(C224:F224,COUNTIF(C224:F224,0)+1))</f>
        <v>0.99836509442963617</v>
      </c>
      <c r="U267" s="317">
        <f t="shared" si="124"/>
        <v>0.9999702447948855</v>
      </c>
      <c r="V267" s="568" t="s">
        <v>1051</v>
      </c>
      <c r="W267" s="7"/>
      <c r="X267" s="14">
        <f t="shared" si="137"/>
        <v>0.9994351946731358</v>
      </c>
      <c r="Y267" s="14">
        <f t="shared" si="138"/>
        <v>0.99957639600485182</v>
      </c>
      <c r="Z267" s="14">
        <f t="shared" si="139"/>
        <v>0.99957639600485182</v>
      </c>
      <c r="AA267" s="14">
        <f t="shared" si="140"/>
        <v>0.99957639600485182</v>
      </c>
      <c r="AB267" s="14">
        <f t="shared" si="141"/>
        <v>0.9999702447948855</v>
      </c>
      <c r="AC267" s="14">
        <f t="shared" si="142"/>
        <v>0.9999702447948855</v>
      </c>
      <c r="AD267" s="14">
        <f t="shared" si="143"/>
        <v>1</v>
      </c>
      <c r="AE267" s="14">
        <f t="shared" si="144"/>
        <v>1</v>
      </c>
      <c r="AF267" s="14">
        <f t="shared" si="145"/>
        <v>1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0.99993722163258647</v>
      </c>
      <c r="D268" s="600">
        <f>IF(SUM(C225:E225)=0,1,AVERAGEIF(C225:E225,"&lt;&gt;0"))</f>
        <v>0.99993722163258647</v>
      </c>
      <c r="E268" s="600">
        <f>IF(SUM(C225:E225)=0,1,AVERAGEIF(C225:E225,"&lt;&gt;0"))</f>
        <v>0.99993722163258647</v>
      </c>
      <c r="F268" s="600">
        <f>IF(SUM(C225:E225)=0,1,AVERAGEIF(C225:E225,"&lt;&gt;0"))</f>
        <v>0.99993722163258647</v>
      </c>
      <c r="G268" s="600">
        <f>IF(SUM(C225:C225)=0,1,AVERAGEIF(C225:C225,"&lt;&gt;0"))</f>
        <v>1</v>
      </c>
      <c r="H268" s="600">
        <f t="shared" si="149"/>
        <v>1</v>
      </c>
      <c r="I268" s="600">
        <f t="shared" si="148"/>
        <v>1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1</v>
      </c>
      <c r="N268" s="600">
        <f>IF(SUM(C225:E225)=0,0,SMALL(C225:E225,COUNTIF(C225:E225,0)+1))</f>
        <v>0.99981166489775919</v>
      </c>
      <c r="O268" s="589">
        <f t="shared" si="122"/>
        <v>1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1</v>
      </c>
      <c r="T268" s="600">
        <f>IF(SUM(C225:E225)=0,0,SMALL(C225:E225,COUNTIF(C225:E225,0)+1))</f>
        <v>0.99981166489775919</v>
      </c>
      <c r="U268" s="317">
        <f t="shared" si="124"/>
        <v>1</v>
      </c>
      <c r="V268" s="568" t="s">
        <v>1052</v>
      </c>
      <c r="W268" s="7"/>
      <c r="X268" s="14">
        <f t="shared" si="137"/>
        <v>0.99993722163258647</v>
      </c>
      <c r="Y268" s="14">
        <f t="shared" si="138"/>
        <v>0.99993722163258647</v>
      </c>
      <c r="Z268" s="14">
        <f t="shared" si="139"/>
        <v>0.99993722163258647</v>
      </c>
      <c r="AA268" s="14">
        <f t="shared" si="140"/>
        <v>0.99993722163258647</v>
      </c>
      <c r="AB268" s="14">
        <f t="shared" si="141"/>
        <v>0.9999950211391242</v>
      </c>
      <c r="AC268" s="14">
        <f t="shared" si="142"/>
        <v>0.9999950211391242</v>
      </c>
      <c r="AD268" s="14">
        <f t="shared" si="143"/>
        <v>0.9999900422286695</v>
      </c>
      <c r="AE268" s="14">
        <f t="shared" si="144"/>
        <v>0.9999900422286695</v>
      </c>
      <c r="AF268" s="14">
        <f t="shared" si="145"/>
        <v>0.9999900422286695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0.99998506349173955</v>
      </c>
      <c r="D269" s="600">
        <f>IF(SUM(C226:D226)=0,1,AVERAGEIF(C226:D226,"&lt;&gt;0"))</f>
        <v>0.99998506349173955</v>
      </c>
      <c r="E269" s="600">
        <f>IF(SUM(C226:D226)=0,1,AVERAGEIF(C226:D226,"&lt;&gt;0"))</f>
        <v>0.99998506349173955</v>
      </c>
      <c r="F269" s="600">
        <f>IF(SUM(C226:D226)=0,1,AVERAGEIF(C226:D226,"&lt;&gt;0"))</f>
        <v>0.99998506349173955</v>
      </c>
      <c r="G269" s="600">
        <f>IF(SUM(C226:C226)=0,1,AVERAGEIF(C226:C226,"&lt;&gt;0"))</f>
        <v>0.9999701269834792</v>
      </c>
      <c r="H269" s="600">
        <f t="shared" si="149"/>
        <v>0.9999701269834792</v>
      </c>
      <c r="I269" s="600">
        <f t="shared" si="148"/>
        <v>0.9999701269834792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1</v>
      </c>
      <c r="N269" s="600">
        <f>IF(SUM(C226:D226)=0,0,SMALL(C226:D226,COUNTIF(C226:D226,0)+1))</f>
        <v>0.9999701269834792</v>
      </c>
      <c r="O269" s="589">
        <f t="shared" si="122"/>
        <v>0.99998506349173955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1</v>
      </c>
      <c r="T269" s="600">
        <f>IF(SUM(C226:D226)=0,0,SMALL(C226:D226,COUNTIF(C226:D226,0)+1))</f>
        <v>0.9999701269834792</v>
      </c>
      <c r="U269" s="317">
        <f t="shared" si="124"/>
        <v>0.99998506349173955</v>
      </c>
      <c r="V269" s="568" t="s">
        <v>1053</v>
      </c>
      <c r="W269" s="7"/>
      <c r="X269" s="14">
        <f t="shared" si="137"/>
        <v>0.99998506349173955</v>
      </c>
      <c r="Y269" s="14">
        <f t="shared" si="138"/>
        <v>0.99998506349173955</v>
      </c>
      <c r="Z269" s="14">
        <f t="shared" si="139"/>
        <v>0.99998506349173955</v>
      </c>
      <c r="AA269" s="14">
        <f t="shared" si="140"/>
        <v>0.99998506349173955</v>
      </c>
      <c r="AB269" s="14">
        <f t="shared" si="141"/>
        <v>0.99998506349173955</v>
      </c>
      <c r="AC269" s="14">
        <f t="shared" si="142"/>
        <v>0.99998506349173955</v>
      </c>
      <c r="AD269" s="14">
        <f t="shared" si="143"/>
        <v>0.9999701269834792</v>
      </c>
      <c r="AE269" s="14">
        <f t="shared" si="144"/>
        <v>0.9999701269834792</v>
      </c>
      <c r="AF269" s="14">
        <f t="shared" si="145"/>
        <v>0.9999701269834792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1</v>
      </c>
      <c r="D270" s="600">
        <f>IF(SUM(C227:C227)=0,1,AVERAGEIF(C227:C227,"&lt;&gt;0"))</f>
        <v>1</v>
      </c>
      <c r="E270" s="600">
        <f>IF(SUM(C227:C227)=0,1,AVERAGEIF(C227:C227,"&lt;&gt;0"))</f>
        <v>1</v>
      </c>
      <c r="F270" s="600">
        <f>IF(SUM(C227:C227)=0,1,AVERAGEIF(C227:C227,"&lt;&gt;0"))</f>
        <v>1</v>
      </c>
      <c r="G270" s="600">
        <f>IF(SUM(C227:C227)=0,1,AVERAGEIF(C227:C227,"&lt;&gt;0"))</f>
        <v>1</v>
      </c>
      <c r="H270" s="600">
        <f t="shared" si="149"/>
        <v>1</v>
      </c>
      <c r="I270" s="600">
        <f t="shared" si="148"/>
        <v>1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1</v>
      </c>
      <c r="N270" s="600">
        <f>IF(SUM(C227:C227)=0,0,SMALL(C227:C227,COUNTIF(C227:C227,0)+1))</f>
        <v>1</v>
      </c>
      <c r="O270" s="589">
        <f t="shared" si="122"/>
        <v>1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1</v>
      </c>
      <c r="T270" s="600">
        <f>IF(SUM(C227:C227)=0,0,SMALL(C227:C227,COUNTIF(C227:C227,0)+1))</f>
        <v>1</v>
      </c>
      <c r="U270" s="317">
        <f t="shared" si="124"/>
        <v>1</v>
      </c>
      <c r="V270" s="568" t="s">
        <v>1054</v>
      </c>
      <c r="W270" s="7"/>
      <c r="X270" s="213">
        <f>MIN(+C270,1)</f>
        <v>1</v>
      </c>
      <c r="Y270" s="213">
        <f>MIN(+D270,1)</f>
        <v>1</v>
      </c>
      <c r="Z270" s="213">
        <f>MIN(+E270,1)</f>
        <v>1</v>
      </c>
      <c r="AA270" s="213">
        <f>MIN(+F270,1)</f>
        <v>1</v>
      </c>
      <c r="AB270" s="213">
        <f>MIN(+O270,1)</f>
        <v>1</v>
      </c>
      <c r="AC270" s="213">
        <f>MIN(+U270,1)</f>
        <v>1</v>
      </c>
      <c r="AD270" s="213">
        <f>MIN(+G270,1)</f>
        <v>1</v>
      </c>
      <c r="AE270" s="213">
        <f>MIN(+H270,1)</f>
        <v>1</v>
      </c>
      <c r="AF270" s="213">
        <f>MIN(+I270,1)</f>
        <v>1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0.86030263182158717</v>
      </c>
      <c r="AN271" s="141">
        <f t="shared" ref="AN271:AN291" si="151">+D283</f>
        <v>0.85924411067638606</v>
      </c>
      <c r="AO271" s="141">
        <f t="shared" ref="AO271:AO291" si="152">+D283</f>
        <v>0.85924411067638606</v>
      </c>
      <c r="AP271" s="141">
        <f t="shared" ref="AP271:AP291" si="153">+X283</f>
        <v>0.86072810770417496</v>
      </c>
      <c r="AQ271" s="141">
        <f t="shared" ref="AQ271:AQ291" si="154">+AA283</f>
        <v>0.86851312667168734</v>
      </c>
      <c r="AR271" s="141">
        <f t="shared" ref="AR271:AR291" si="155">+AD283</f>
        <v>0.8798163989273583</v>
      </c>
    </row>
    <row r="272" spans="1:44" x14ac:dyDescent="0.2">
      <c r="A272" s="3" t="str">
        <f>+$C$1</f>
        <v>Allied Pacific (APC Medicare)</v>
      </c>
      <c r="G272" s="354"/>
      <c r="N272" s="208" t="s">
        <v>1055</v>
      </c>
      <c r="O272" s="3" t="str">
        <f>+$C$1</f>
        <v>Allied Pacific (APC Medicare)</v>
      </c>
      <c r="AB272" s="208" t="s">
        <v>1058</v>
      </c>
      <c r="AM272" s="141">
        <f t="shared" si="150"/>
        <v>0.92422314317391896</v>
      </c>
      <c r="AN272" s="141">
        <f t="shared" si="151"/>
        <v>0.92002832729817041</v>
      </c>
      <c r="AO272" s="141">
        <f t="shared" si="152"/>
        <v>0.92002832729817041</v>
      </c>
      <c r="AP272" s="141">
        <f t="shared" si="153"/>
        <v>0.92776358606949072</v>
      </c>
      <c r="AQ272" s="141">
        <f t="shared" si="154"/>
        <v>0.92389354130359314</v>
      </c>
      <c r="AR272" s="141">
        <f t="shared" si="155"/>
        <v>0.93579620859790758</v>
      </c>
    </row>
    <row r="273" spans="1:44" x14ac:dyDescent="0.2">
      <c r="A273" s="1" t="s">
        <v>738</v>
      </c>
      <c r="O273" s="1" t="s">
        <v>738</v>
      </c>
      <c r="AM273" s="141">
        <f t="shared" si="150"/>
        <v>0.9461765251161306</v>
      </c>
      <c r="AN273" s="141">
        <f t="shared" si="151"/>
        <v>0.94374169839118216</v>
      </c>
      <c r="AO273" s="141">
        <f t="shared" si="152"/>
        <v>0.94374169839118216</v>
      </c>
      <c r="AP273" s="141">
        <f t="shared" si="153"/>
        <v>0.9479331760712485</v>
      </c>
      <c r="AQ273" s="141">
        <f t="shared" si="154"/>
        <v>0.94163576498814627</v>
      </c>
      <c r="AR273" s="141">
        <f t="shared" si="155"/>
        <v>0.95231131807260783</v>
      </c>
    </row>
    <row r="274" spans="1:44" x14ac:dyDescent="0.2">
      <c r="A274" s="1"/>
      <c r="O274" s="1"/>
      <c r="AM274" s="141">
        <f t="shared" si="150"/>
        <v>0.95320743226422966</v>
      </c>
      <c r="AN274" s="141">
        <f t="shared" si="151"/>
        <v>0.95052475165636952</v>
      </c>
      <c r="AO274" s="141">
        <f t="shared" si="152"/>
        <v>0.95052475165636952</v>
      </c>
      <c r="AP274" s="141">
        <f t="shared" si="153"/>
        <v>0.9552080297145813</v>
      </c>
      <c r="AQ274" s="141">
        <f t="shared" si="154"/>
        <v>0.94909901572813782</v>
      </c>
      <c r="AR274" s="141">
        <f t="shared" si="155"/>
        <v>0.95968684412196525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0.95966901885398148</v>
      </c>
      <c r="AN275" s="141">
        <f t="shared" si="151"/>
        <v>0.95697048412543828</v>
      </c>
      <c r="AO275" s="141">
        <f t="shared" si="152"/>
        <v>0.95697048412543828</v>
      </c>
      <c r="AP275" s="141">
        <f t="shared" si="153"/>
        <v>0.96168083525665993</v>
      </c>
      <c r="AQ275" s="141">
        <f t="shared" si="154"/>
        <v>0.95825311885507669</v>
      </c>
      <c r="AR275" s="141">
        <f t="shared" si="155"/>
        <v>0.9671766643976597</v>
      </c>
    </row>
    <row r="276" spans="1:44" x14ac:dyDescent="0.2">
      <c r="C276" s="16" t="s">
        <v>67</v>
      </c>
      <c r="D276" s="16"/>
      <c r="E276" s="14">
        <f>Final!$M$5</f>
        <v>0</v>
      </c>
      <c r="Q276" s="16" t="s">
        <v>67</v>
      </c>
      <c r="R276" s="16"/>
      <c r="S276" s="14">
        <f>Final!$M$5</f>
        <v>0</v>
      </c>
      <c r="AM276" s="141">
        <f t="shared" si="150"/>
        <v>0.96607216938916862</v>
      </c>
      <c r="AN276" s="141">
        <f t="shared" si="151"/>
        <v>0.96338965037125657</v>
      </c>
      <c r="AO276" s="141">
        <f t="shared" si="152"/>
        <v>0.96338965037125657</v>
      </c>
      <c r="AP276" s="141">
        <f t="shared" si="153"/>
        <v>0.96806322308375004</v>
      </c>
      <c r="AQ276" s="141">
        <f t="shared" si="154"/>
        <v>0.96483899685096775</v>
      </c>
      <c r="AR276" s="141">
        <f t="shared" si="155"/>
        <v>0.972267652981887</v>
      </c>
    </row>
    <row r="277" spans="1:44" x14ac:dyDescent="0.2">
      <c r="C277" s="28" t="s">
        <v>68</v>
      </c>
      <c r="Q277" s="28" t="s">
        <v>68</v>
      </c>
      <c r="AM277" s="141">
        <f t="shared" si="150"/>
        <v>0.9713465065989646</v>
      </c>
      <c r="AN277" s="141">
        <f t="shared" si="151"/>
        <v>0.96925958162072556</v>
      </c>
      <c r="AO277" s="141">
        <f t="shared" si="152"/>
        <v>0.96925958162072556</v>
      </c>
      <c r="AP277" s="141">
        <f t="shared" si="153"/>
        <v>0.97273600241996372</v>
      </c>
      <c r="AQ277" s="141">
        <f t="shared" si="154"/>
        <v>0.96976074450150052</v>
      </c>
      <c r="AR277" s="141">
        <f t="shared" si="155"/>
        <v>0.97670133147757121</v>
      </c>
    </row>
    <row r="278" spans="1:44" ht="12" thickBot="1" x14ac:dyDescent="0.25">
      <c r="AM278" s="141">
        <f t="shared" si="150"/>
        <v>0.97585716712579107</v>
      </c>
      <c r="AN278" s="141">
        <f t="shared" si="151"/>
        <v>0.97492486163866798</v>
      </c>
      <c r="AO278" s="141">
        <f t="shared" si="152"/>
        <v>0.97492486163866798</v>
      </c>
      <c r="AP278" s="141">
        <f t="shared" si="153"/>
        <v>0.97623287130684111</v>
      </c>
      <c r="AQ278" s="141">
        <f t="shared" si="154"/>
        <v>0.97392525291311138</v>
      </c>
      <c r="AR278" s="141">
        <f t="shared" si="155"/>
        <v>0.97942887435711479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0.97973430552468965</v>
      </c>
      <c r="AN279" s="141">
        <f t="shared" si="151"/>
        <v>0.97887537519770107</v>
      </c>
      <c r="AO279" s="141">
        <f t="shared" si="152"/>
        <v>0.97887537519770107</v>
      </c>
      <c r="AP279" s="141">
        <f t="shared" si="153"/>
        <v>0.98003433187625788</v>
      </c>
      <c r="AQ279" s="141">
        <f t="shared" si="154"/>
        <v>0.97853886951304792</v>
      </c>
      <c r="AR279" s="141">
        <f t="shared" si="155"/>
        <v>0.98227001691190807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0.98294217199668188</v>
      </c>
      <c r="AN280" s="141">
        <f t="shared" si="151"/>
        <v>0.98158407497498024</v>
      </c>
      <c r="AO280" s="141">
        <f t="shared" si="152"/>
        <v>0.98158407497498024</v>
      </c>
      <c r="AP280" s="141">
        <f t="shared" si="153"/>
        <v>0.98374062556371555</v>
      </c>
      <c r="AQ280" s="141">
        <f t="shared" si="154"/>
        <v>0.98212326318562182</v>
      </c>
      <c r="AR280" s="141">
        <f t="shared" si="155"/>
        <v>0.98432278367427628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0.18712228308054071</v>
      </c>
      <c r="E281" s="33">
        <f t="shared" ref="E281:E311" si="157">MIN(SUMPRODUCT(D276:D286,$G$329:$G$339),$E$275)</f>
        <v>0.18712228308054071</v>
      </c>
      <c r="F281" s="24"/>
      <c r="G281" s="601">
        <f t="shared" ref="G281:G314" si="158">F282*G282</f>
        <v>0.18314647642119239</v>
      </c>
      <c r="H281" s="33">
        <f t="shared" ref="H281:H311" si="159">MIN(SUMPRODUCT(G276:G286,$G$329:$G$339),$E$275)</f>
        <v>0.18314647642119239</v>
      </c>
      <c r="I281" s="24"/>
      <c r="J281" s="601">
        <f t="shared" ref="J281:J314" si="160">I282*J282</f>
        <v>0.18411043919926251</v>
      </c>
      <c r="K281" s="33">
        <f t="shared" ref="K281:K311" si="161">MIN(SUMPRODUCT(J276:J286,$G$329:$G$339),$E$275)</f>
        <v>0.18411043919926251</v>
      </c>
      <c r="L281" s="24"/>
      <c r="M281" s="601">
        <f t="shared" ref="M281:M314" si="162">L282*M282</f>
        <v>0.18394009811207335</v>
      </c>
      <c r="N281" s="33">
        <f t="shared" ref="N281:N311" si="163">MIN(SUMPRODUCT(M276:M286,$G$329:$G$339),$E$275)</f>
        <v>0.18394009811207335</v>
      </c>
      <c r="O281" s="252" t="s">
        <v>978</v>
      </c>
      <c r="P281" s="7"/>
      <c r="Q281" s="24"/>
      <c r="R281" s="601">
        <f t="shared" ref="R281:R314" si="164">Q282*R282</f>
        <v>0.18426365903786027</v>
      </c>
      <c r="S281" s="33">
        <f t="shared" ref="S281:S311" si="165">MIN(SUMPRODUCT(R276:R286,$G$329:$G$339),$E$275)</f>
        <v>0.18426365903786027</v>
      </c>
      <c r="T281" s="24"/>
      <c r="U281" s="601">
        <f t="shared" ref="U281:U314" si="166">T282*U282</f>
        <v>0.18380667983013518</v>
      </c>
      <c r="V281" s="33">
        <f t="shared" ref="V281:V311" si="167">MIN(SUMPRODUCT(U276:U286,$G$329:$G$339),$E$275)</f>
        <v>0.18380667983013518</v>
      </c>
      <c r="W281" s="24"/>
      <c r="X281" s="601">
        <f t="shared" ref="X281:X314" si="168">W282*X282</f>
        <v>0.17812149387791223</v>
      </c>
      <c r="Y281" s="33">
        <f t="shared" ref="Y281:Y311" si="169">MIN(SUMPRODUCT(X276:X286,$G$329:$G$339),$E$275)</f>
        <v>0.17812149387791223</v>
      </c>
      <c r="Z281" s="24"/>
      <c r="AA281" s="601">
        <f t="shared" ref="AA281:AA314" si="170">Z282*AA282</f>
        <v>0.17804063483658311</v>
      </c>
      <c r="AB281" s="33">
        <f t="shared" ref="AB281:AB311" si="171">MIN(SUMPRODUCT(AA276:AA286,$G$329:$G$339),$E$275)</f>
        <v>0.17804063483658311</v>
      </c>
      <c r="AC281" s="24"/>
      <c r="AD281" s="601">
        <f t="shared" ref="AD281:AD314" si="172">AC282*AD282</f>
        <v>0.19186216176496881</v>
      </c>
      <c r="AE281" s="33">
        <f t="shared" ref="AE281:AE311" si="173">MIN(SUMPRODUCT(AD276:AD286,$G$329:$G$339),$E$275)</f>
        <v>0.19186216176496881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0.18394009811207335</v>
      </c>
      <c r="AL281" s="141">
        <f t="shared" ref="AL281:AL303" si="178">+J281</f>
        <v>0.18411043919926251</v>
      </c>
      <c r="AM281" s="141">
        <f t="shared" si="150"/>
        <v>0.98549633677704296</v>
      </c>
      <c r="AN281" s="141">
        <f t="shared" si="151"/>
        <v>0.98413753124115677</v>
      </c>
      <c r="AO281" s="141">
        <f t="shared" si="152"/>
        <v>0.98413753124115677</v>
      </c>
      <c r="AP281" s="141">
        <f t="shared" si="153"/>
        <v>0.98632983311503875</v>
      </c>
      <c r="AQ281" s="141">
        <f t="shared" si="154"/>
        <v>0.98444600468615762</v>
      </c>
      <c r="AR281" s="141">
        <f t="shared" si="155"/>
        <v>0.98644529213177312</v>
      </c>
    </row>
    <row r="282" spans="1:44" x14ac:dyDescent="0.2">
      <c r="A282" s="252" t="s">
        <v>979</v>
      </c>
      <c r="B282" s="7"/>
      <c r="C282" s="214">
        <f>+X236</f>
        <v>0.30118728075497292</v>
      </c>
      <c r="D282" s="601">
        <f t="shared" si="156"/>
        <v>0.62128215577858903</v>
      </c>
      <c r="E282" s="33">
        <f t="shared" si="157"/>
        <v>0.62128215577858903</v>
      </c>
      <c r="F282" s="214">
        <f>+Y236</f>
        <v>0.28305088127981543</v>
      </c>
      <c r="G282" s="601">
        <f t="shared" si="158"/>
        <v>0.64704436033936741</v>
      </c>
      <c r="H282" s="33">
        <f t="shared" si="159"/>
        <v>0.64704436033936741</v>
      </c>
      <c r="I282" s="214">
        <f>+Z236</f>
        <v>0.2762195171157466</v>
      </c>
      <c r="J282" s="601">
        <f t="shared" si="160"/>
        <v>0.66653667750100787</v>
      </c>
      <c r="K282" s="33">
        <f t="shared" si="161"/>
        <v>0.66653667750100787</v>
      </c>
      <c r="L282" s="214">
        <f>+AA236</f>
        <v>0.29007019491637093</v>
      </c>
      <c r="M282" s="601">
        <f t="shared" si="162"/>
        <v>0.6341227100740372</v>
      </c>
      <c r="N282" s="33">
        <f t="shared" si="163"/>
        <v>0.6341227100740372</v>
      </c>
      <c r="O282" s="252" t="s">
        <v>979</v>
      </c>
      <c r="P282" s="7"/>
      <c r="Q282" s="214">
        <f>+AB236</f>
        <v>0.27799246852345172</v>
      </c>
      <c r="R282" s="601">
        <f t="shared" si="164"/>
        <v>0.66283687474186226</v>
      </c>
      <c r="S282" s="33">
        <f t="shared" si="165"/>
        <v>0.66283687474186226</v>
      </c>
      <c r="T282" s="214">
        <f>+AC236</f>
        <v>0.27282987918038731</v>
      </c>
      <c r="U282" s="601">
        <f t="shared" si="166"/>
        <v>0.67370436252184629</v>
      </c>
      <c r="V282" s="33">
        <f t="shared" si="167"/>
        <v>0.67370436252184629</v>
      </c>
      <c r="W282" s="214">
        <f>+AD236</f>
        <v>0.26491448180465804</v>
      </c>
      <c r="X282" s="601">
        <f t="shared" si="168"/>
        <v>0.67237356245875224</v>
      </c>
      <c r="Y282" s="33">
        <f t="shared" si="169"/>
        <v>0.67237356245875224</v>
      </c>
      <c r="Z282" s="214">
        <f>+AE236</f>
        <v>0.26471821043772409</v>
      </c>
      <c r="AA282" s="601">
        <f t="shared" si="170"/>
        <v>0.67256663053963872</v>
      </c>
      <c r="AB282" s="33">
        <f t="shared" si="171"/>
        <v>0.67256663053963872</v>
      </c>
      <c r="AC282" s="214">
        <f>+AF236</f>
        <v>0.27405809546563159</v>
      </c>
      <c r="AD282" s="601">
        <f t="shared" si="172"/>
        <v>0.70007843205284692</v>
      </c>
      <c r="AE282" s="33">
        <f t="shared" si="173"/>
        <v>0.70007843205284692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0.6341227100740372</v>
      </c>
      <c r="AL282" s="141">
        <f t="shared" si="178"/>
        <v>0.66653667750100787</v>
      </c>
      <c r="AM282" s="141">
        <f t="shared" si="150"/>
        <v>0.98786433623630543</v>
      </c>
      <c r="AN282" s="141">
        <f t="shared" si="151"/>
        <v>0.98676924770822272</v>
      </c>
      <c r="AO282" s="141">
        <f t="shared" si="152"/>
        <v>0.98676924770822272</v>
      </c>
      <c r="AP282" s="141">
        <f t="shared" si="153"/>
        <v>0.98843354245577819</v>
      </c>
      <c r="AQ282" s="141">
        <f t="shared" si="154"/>
        <v>0.98662859039224104</v>
      </c>
      <c r="AR282" s="141">
        <f t="shared" si="155"/>
        <v>0.98824977427758798</v>
      </c>
    </row>
    <row r="283" spans="1:44" x14ac:dyDescent="0.2">
      <c r="A283" s="568" t="s">
        <v>980</v>
      </c>
      <c r="B283" s="7"/>
      <c r="C283" s="214">
        <f>+X237</f>
        <v>0.72305663554624022</v>
      </c>
      <c r="D283" s="601">
        <f t="shared" si="156"/>
        <v>0.85924411067638606</v>
      </c>
      <c r="E283" s="33">
        <f t="shared" si="157"/>
        <v>0.85924411067638606</v>
      </c>
      <c r="F283" s="214">
        <f>+Y237</f>
        <v>0.75211249670285085</v>
      </c>
      <c r="G283" s="601">
        <f t="shared" si="158"/>
        <v>0.86030263182158717</v>
      </c>
      <c r="H283" s="33">
        <f t="shared" si="159"/>
        <v>0.86030263182158717</v>
      </c>
      <c r="I283" s="214">
        <f>+Z237</f>
        <v>0.76858081058266736</v>
      </c>
      <c r="J283" s="601">
        <f t="shared" si="160"/>
        <v>0.86723044385625625</v>
      </c>
      <c r="K283" s="33">
        <f t="shared" si="161"/>
        <v>0.86723044385625625</v>
      </c>
      <c r="L283" s="214">
        <f>+AA237</f>
        <v>0.77185476706906919</v>
      </c>
      <c r="M283" s="601">
        <f t="shared" si="162"/>
        <v>0.82155703006404168</v>
      </c>
      <c r="N283" s="33">
        <f t="shared" si="163"/>
        <v>0.82155703006404168</v>
      </c>
      <c r="O283" s="568" t="s">
        <v>980</v>
      </c>
      <c r="P283" s="7"/>
      <c r="Q283" s="214">
        <f>+AB237</f>
        <v>0.76793297050230847</v>
      </c>
      <c r="R283" s="601">
        <f t="shared" si="164"/>
        <v>0.86314418081085598</v>
      </c>
      <c r="S283" s="33">
        <f t="shared" si="165"/>
        <v>0.86314418081085598</v>
      </c>
      <c r="T283" s="214">
        <f>+AC237</f>
        <v>0.77412113607653676</v>
      </c>
      <c r="U283" s="601">
        <f t="shared" si="166"/>
        <v>0.87028286804875155</v>
      </c>
      <c r="V283" s="33">
        <f t="shared" si="167"/>
        <v>0.87028286804875155</v>
      </c>
      <c r="W283" s="214">
        <f>+AD237</f>
        <v>0.7811683578594617</v>
      </c>
      <c r="X283" s="601">
        <f t="shared" si="168"/>
        <v>0.86072810770417496</v>
      </c>
      <c r="Y283" s="33">
        <f t="shared" si="169"/>
        <v>0.86072810770417496</v>
      </c>
      <c r="Z283" s="214">
        <f>+AE237</f>
        <v>0.77438856119198329</v>
      </c>
      <c r="AA283" s="601">
        <f t="shared" si="170"/>
        <v>0.86851312667168734</v>
      </c>
      <c r="AB283" s="33">
        <f t="shared" si="171"/>
        <v>0.86851312667168734</v>
      </c>
      <c r="AC283" s="214">
        <f>+AF237</f>
        <v>0.79570968773298423</v>
      </c>
      <c r="AD283" s="601">
        <f t="shared" si="172"/>
        <v>0.8798163989273583</v>
      </c>
      <c r="AE283" s="33">
        <f t="shared" si="173"/>
        <v>0.8798163989273583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0.82155703006404168</v>
      </c>
      <c r="AL283" s="141">
        <f t="shared" si="178"/>
        <v>0.86723044385625625</v>
      </c>
      <c r="AM283" s="141">
        <f t="shared" si="150"/>
        <v>0.98992918937245789</v>
      </c>
      <c r="AN283" s="141">
        <f t="shared" si="151"/>
        <v>0.98878745420890346</v>
      </c>
      <c r="AO283" s="141">
        <f t="shared" si="152"/>
        <v>0.98878745420890346</v>
      </c>
      <c r="AP283" s="141">
        <f t="shared" si="153"/>
        <v>0.9905440218188194</v>
      </c>
      <c r="AQ283" s="141">
        <f t="shared" si="154"/>
        <v>0.9890005869045646</v>
      </c>
      <c r="AR283" s="141">
        <f t="shared" si="155"/>
        <v>0.99094867791763808</v>
      </c>
    </row>
    <row r="284" spans="1:44" x14ac:dyDescent="0.2">
      <c r="A284" s="568" t="s">
        <v>981</v>
      </c>
      <c r="B284" s="7"/>
      <c r="C284" s="214">
        <f>+X238</f>
        <v>0.93393223358645028</v>
      </c>
      <c r="D284" s="601">
        <f t="shared" si="156"/>
        <v>0.92002832729817041</v>
      </c>
      <c r="E284" s="33">
        <f t="shared" si="157"/>
        <v>0.92002832729817041</v>
      </c>
      <c r="F284" s="214">
        <f>+Y238</f>
        <v>0.93083865966305568</v>
      </c>
      <c r="G284" s="601">
        <f t="shared" si="158"/>
        <v>0.92422314317391896</v>
      </c>
      <c r="H284" s="33">
        <f t="shared" si="159"/>
        <v>0.92422314317391896</v>
      </c>
      <c r="I284" s="214">
        <f>+Z238</f>
        <v>0.93547859648753262</v>
      </c>
      <c r="J284" s="601">
        <f t="shared" si="160"/>
        <v>0.92704466688224663</v>
      </c>
      <c r="K284" s="33">
        <f t="shared" si="161"/>
        <v>0.92704466688224663</v>
      </c>
      <c r="L284" s="214">
        <f>+AA238</f>
        <v>0.91749049196853283</v>
      </c>
      <c r="M284" s="601">
        <f t="shared" si="162"/>
        <v>0.8954392849361742</v>
      </c>
      <c r="N284" s="33">
        <f t="shared" si="163"/>
        <v>0.8954392849361742</v>
      </c>
      <c r="O284" s="568" t="s">
        <v>981</v>
      </c>
      <c r="P284" s="7"/>
      <c r="Q284" s="214">
        <f>+AB238</f>
        <v>0.92917029216870717</v>
      </c>
      <c r="R284" s="601">
        <f t="shared" si="164"/>
        <v>0.92894078522060308</v>
      </c>
      <c r="S284" s="33">
        <f t="shared" si="165"/>
        <v>0.92894078522060308</v>
      </c>
      <c r="T284" s="214">
        <f>+AC238</f>
        <v>0.93536877551813602</v>
      </c>
      <c r="U284" s="601">
        <f t="shared" si="166"/>
        <v>0.93041684822830339</v>
      </c>
      <c r="V284" s="33">
        <f t="shared" si="167"/>
        <v>0.93041684822830339</v>
      </c>
      <c r="W284" s="214">
        <f>+AD238</f>
        <v>0.92774508573966097</v>
      </c>
      <c r="X284" s="601">
        <f t="shared" si="168"/>
        <v>0.92776358606949072</v>
      </c>
      <c r="Y284" s="33">
        <f t="shared" si="169"/>
        <v>0.92776358606949072</v>
      </c>
      <c r="Z284" s="214">
        <f>+AE238</f>
        <v>0.94005758006083118</v>
      </c>
      <c r="AA284" s="601">
        <f t="shared" si="170"/>
        <v>0.92389354130359314</v>
      </c>
      <c r="AB284" s="33">
        <f t="shared" si="171"/>
        <v>0.92389354130359314</v>
      </c>
      <c r="AC284" s="214">
        <f>+AF238</f>
        <v>0.94017948656318751</v>
      </c>
      <c r="AD284" s="601">
        <f t="shared" si="172"/>
        <v>0.93579620859790758</v>
      </c>
      <c r="AE284" s="33">
        <f t="shared" si="173"/>
        <v>0.93579620859790758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0.8954392849361742</v>
      </c>
      <c r="AL284" s="141">
        <f t="shared" si="178"/>
        <v>0.92704466688224663</v>
      </c>
      <c r="AM284" s="141">
        <f t="shared" si="150"/>
        <v>0.9912511434960084</v>
      </c>
      <c r="AN284" s="141">
        <f t="shared" si="151"/>
        <v>0.98978244908519208</v>
      </c>
      <c r="AO284" s="141">
        <f t="shared" si="152"/>
        <v>0.98978244908519208</v>
      </c>
      <c r="AP284" s="141">
        <f t="shared" si="153"/>
        <v>0.99219302414502919</v>
      </c>
      <c r="AQ284" s="141">
        <f t="shared" si="154"/>
        <v>0.99045416347692672</v>
      </c>
      <c r="AR284" s="141">
        <f t="shared" si="155"/>
        <v>0.99285130543078981</v>
      </c>
    </row>
    <row r="285" spans="1:44" x14ac:dyDescent="0.2">
      <c r="A285" s="568" t="s">
        <v>982</v>
      </c>
      <c r="B285" s="7"/>
      <c r="C285" s="214">
        <f>+X239</f>
        <v>0.97487302814590426</v>
      </c>
      <c r="D285" s="601">
        <f t="shared" si="156"/>
        <v>0.94374169839118216</v>
      </c>
      <c r="E285" s="33">
        <f t="shared" si="157"/>
        <v>0.94374169839118216</v>
      </c>
      <c r="F285" s="214">
        <f>+Y239</f>
        <v>0.97679779474605211</v>
      </c>
      <c r="G285" s="601">
        <f t="shared" si="158"/>
        <v>0.9461765251161306</v>
      </c>
      <c r="H285" s="33">
        <f t="shared" si="159"/>
        <v>0.9461765251161306</v>
      </c>
      <c r="I285" s="214">
        <f>+Z239</f>
        <v>0.97935288468814152</v>
      </c>
      <c r="J285" s="601">
        <f t="shared" si="160"/>
        <v>0.9465889990995926</v>
      </c>
      <c r="K285" s="33">
        <f t="shared" si="161"/>
        <v>0.9465889990995926</v>
      </c>
      <c r="L285" s="214">
        <f>+AA239</f>
        <v>0.96734648706741344</v>
      </c>
      <c r="M285" s="601">
        <f t="shared" si="162"/>
        <v>0.92566551582853052</v>
      </c>
      <c r="N285" s="33">
        <f t="shared" si="163"/>
        <v>0.92566551582853052</v>
      </c>
      <c r="O285" s="568" t="s">
        <v>982</v>
      </c>
      <c r="P285" s="7"/>
      <c r="Q285" s="214">
        <f>+AB239</f>
        <v>0.97580012556342144</v>
      </c>
      <c r="R285" s="601">
        <f t="shared" si="164"/>
        <v>0.95197854651252267</v>
      </c>
      <c r="S285" s="33">
        <f t="shared" si="165"/>
        <v>0.95197854651252267</v>
      </c>
      <c r="T285" s="214">
        <f>+AC239</f>
        <v>0.97913626894986583</v>
      </c>
      <c r="U285" s="601">
        <f t="shared" si="166"/>
        <v>0.95024245116176265</v>
      </c>
      <c r="V285" s="33">
        <f t="shared" si="167"/>
        <v>0.95024245116176265</v>
      </c>
      <c r="W285" s="214">
        <f>+AD239</f>
        <v>0.97872256134620006</v>
      </c>
      <c r="X285" s="601">
        <f t="shared" si="168"/>
        <v>0.9479331760712485</v>
      </c>
      <c r="Y285" s="33">
        <f t="shared" si="169"/>
        <v>0.9479331760712485</v>
      </c>
      <c r="Z285" s="214">
        <f>+AE239</f>
        <v>0.98115808219670109</v>
      </c>
      <c r="AA285" s="601">
        <f t="shared" si="170"/>
        <v>0.94163576498814627</v>
      </c>
      <c r="AB285" s="33">
        <f t="shared" si="171"/>
        <v>0.94163576498814627</v>
      </c>
      <c r="AC285" s="214">
        <f>+AF239</f>
        <v>0.9826578670637609</v>
      </c>
      <c r="AD285" s="601">
        <f t="shared" si="172"/>
        <v>0.95231131807260783</v>
      </c>
      <c r="AE285" s="33">
        <f t="shared" si="173"/>
        <v>0.95231131807260783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0.92566551582853052</v>
      </c>
      <c r="AL285" s="141">
        <f t="shared" si="178"/>
        <v>0.9465889990995926</v>
      </c>
      <c r="AM285" s="141">
        <f t="shared" si="150"/>
        <v>0.99189101806934477</v>
      </c>
      <c r="AN285" s="141">
        <f t="shared" si="151"/>
        <v>0.99007291304832212</v>
      </c>
      <c r="AO285" s="141">
        <f t="shared" si="152"/>
        <v>0.99007291304832212</v>
      </c>
      <c r="AP285" s="141">
        <f t="shared" si="153"/>
        <v>0.99318570589245558</v>
      </c>
      <c r="AQ285" s="141">
        <f t="shared" si="154"/>
        <v>0.992743158096142</v>
      </c>
      <c r="AR285" s="141">
        <f t="shared" si="155"/>
        <v>0.9934417327922902</v>
      </c>
    </row>
    <row r="286" spans="1:44" x14ac:dyDescent="0.2">
      <c r="A286" s="568" t="s">
        <v>983</v>
      </c>
      <c r="B286" s="7"/>
      <c r="C286" s="24">
        <f t="shared" ref="C286:C304" si="179">IF(+X240=0,1,X240)</f>
        <v>0.99286388570800777</v>
      </c>
      <c r="D286" s="601">
        <f t="shared" si="156"/>
        <v>0.95052475165636952</v>
      </c>
      <c r="E286" s="33">
        <f t="shared" si="157"/>
        <v>0.95052475165636952</v>
      </c>
      <c r="F286" s="24">
        <f t="shared" ref="F286:F298" si="180">IF(+Y240=0,1,Y240)</f>
        <v>0.99262394846062207</v>
      </c>
      <c r="G286" s="601">
        <f t="shared" si="158"/>
        <v>0.95320743226422966</v>
      </c>
      <c r="H286" s="33">
        <f t="shared" si="159"/>
        <v>0.95320743226422966</v>
      </c>
      <c r="I286" s="24">
        <f t="shared" ref="I286:I296" si="181">IF(+Z240=0,1,Z240)</f>
        <v>0.99253207932026799</v>
      </c>
      <c r="J286" s="601">
        <f t="shared" si="160"/>
        <v>0.9537112389836917</v>
      </c>
      <c r="K286" s="33">
        <f t="shared" si="161"/>
        <v>0.9537112389836917</v>
      </c>
      <c r="L286" s="24">
        <f t="shared" ref="L286:L297" si="182">IF(+AA240=0,1,AA240)</f>
        <v>0.98483027349831365</v>
      </c>
      <c r="M286" s="601">
        <f t="shared" si="162"/>
        <v>0.93992390439053208</v>
      </c>
      <c r="N286" s="33">
        <f t="shared" si="163"/>
        <v>0.93992390439053208</v>
      </c>
      <c r="O286" s="568" t="s">
        <v>983</v>
      </c>
      <c r="P286" s="7"/>
      <c r="Q286" s="24">
        <f t="shared" ref="Q286:Q296" si="183">IF(+AB240=0,1,AB240)</f>
        <v>0.99273205730075154</v>
      </c>
      <c r="R286" s="601">
        <f t="shared" si="164"/>
        <v>0.95894812654782391</v>
      </c>
      <c r="S286" s="33">
        <f t="shared" si="165"/>
        <v>0.95894812654782391</v>
      </c>
      <c r="T286" s="24">
        <f t="shared" ref="T286:T296" si="184">IF(+AC240=0,1,AC240)</f>
        <v>0.9926694715332387</v>
      </c>
      <c r="U286" s="601">
        <f t="shared" si="166"/>
        <v>0.95725967042590221</v>
      </c>
      <c r="V286" s="33">
        <f t="shared" si="167"/>
        <v>0.95725967042590221</v>
      </c>
      <c r="W286" s="24">
        <f t="shared" ref="W286:W296" si="185">IF(+AD240=0,1,AD240)</f>
        <v>0.99238401121323638</v>
      </c>
      <c r="X286" s="601">
        <f t="shared" si="168"/>
        <v>0.9552080297145813</v>
      </c>
      <c r="Y286" s="33">
        <f t="shared" si="169"/>
        <v>0.9552080297145813</v>
      </c>
      <c r="Z286" s="24">
        <f t="shared" ref="Z286:Z296" si="186">IF(+AE240=0,1,AE240)</f>
        <v>0.99213648880010075</v>
      </c>
      <c r="AA286" s="601">
        <f t="shared" si="170"/>
        <v>0.94909901572813782</v>
      </c>
      <c r="AB286" s="33">
        <f t="shared" si="171"/>
        <v>0.94909901572813782</v>
      </c>
      <c r="AC286" s="24">
        <f t="shared" ref="AC286:AC296" si="187">IF(+AF240=0,1,AF240)</f>
        <v>0.99231465337413749</v>
      </c>
      <c r="AD286" s="601">
        <f t="shared" si="172"/>
        <v>0.95968684412196525</v>
      </c>
      <c r="AE286" s="33">
        <f t="shared" si="173"/>
        <v>0.95968684412196525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0.93992390439053208</v>
      </c>
      <c r="AL286" s="141">
        <f t="shared" si="178"/>
        <v>0.9537112389836917</v>
      </c>
      <c r="AM286" s="141">
        <f t="shared" si="150"/>
        <v>0.99270528721999796</v>
      </c>
      <c r="AN286" s="141">
        <f t="shared" si="151"/>
        <v>0.99084992117083504</v>
      </c>
      <c r="AO286" s="141">
        <f t="shared" si="152"/>
        <v>0.99084992117083504</v>
      </c>
      <c r="AP286" s="141">
        <f t="shared" si="153"/>
        <v>0.9943552515990971</v>
      </c>
      <c r="AQ286" s="141">
        <f t="shared" si="154"/>
        <v>0.99488955109876676</v>
      </c>
      <c r="AR286" s="141">
        <f t="shared" si="155"/>
        <v>0.99379435176631614</v>
      </c>
    </row>
    <row r="287" spans="1:44" x14ac:dyDescent="0.2">
      <c r="A287" s="568" t="s">
        <v>984</v>
      </c>
      <c r="B287" s="7"/>
      <c r="C287" s="24">
        <f t="shared" si="179"/>
        <v>0.99326443962902422</v>
      </c>
      <c r="D287" s="601">
        <f t="shared" si="156"/>
        <v>0.95697048412543828</v>
      </c>
      <c r="E287" s="33">
        <f t="shared" si="157"/>
        <v>0.95697048412543828</v>
      </c>
      <c r="F287" s="24">
        <f t="shared" si="180"/>
        <v>0.99326685923708558</v>
      </c>
      <c r="G287" s="601">
        <f t="shared" si="158"/>
        <v>0.95966901885398148</v>
      </c>
      <c r="H287" s="33">
        <f t="shared" si="159"/>
        <v>0.95966901885398148</v>
      </c>
      <c r="I287" s="24">
        <f t="shared" si="181"/>
        <v>0.99230920173417969</v>
      </c>
      <c r="J287" s="601">
        <f t="shared" si="160"/>
        <v>0.96110288740340877</v>
      </c>
      <c r="K287" s="33">
        <f t="shared" si="161"/>
        <v>0.96110288740340877</v>
      </c>
      <c r="L287" s="24">
        <f t="shared" si="182"/>
        <v>0.99066327116914621</v>
      </c>
      <c r="M287" s="601">
        <f t="shared" si="162"/>
        <v>0.94878242864628126</v>
      </c>
      <c r="N287" s="33">
        <f t="shared" si="163"/>
        <v>0.94878242864628126</v>
      </c>
      <c r="O287" s="568" t="s">
        <v>984</v>
      </c>
      <c r="P287" s="7"/>
      <c r="Q287" s="24">
        <f t="shared" si="183"/>
        <v>0.99361902970991689</v>
      </c>
      <c r="R287" s="601">
        <f t="shared" si="164"/>
        <v>0.96510644208151386</v>
      </c>
      <c r="S287" s="33">
        <f t="shared" si="165"/>
        <v>0.96510644208151386</v>
      </c>
      <c r="T287" s="24">
        <f t="shared" si="184"/>
        <v>0.99279191518584697</v>
      </c>
      <c r="U287" s="601">
        <f t="shared" si="166"/>
        <v>0.96420977627190563</v>
      </c>
      <c r="V287" s="33">
        <f t="shared" si="167"/>
        <v>0.96420977627190563</v>
      </c>
      <c r="W287" s="24">
        <f t="shared" si="185"/>
        <v>0.99326927884514704</v>
      </c>
      <c r="X287" s="601">
        <f t="shared" si="168"/>
        <v>0.96168083525665993</v>
      </c>
      <c r="Y287" s="33">
        <f t="shared" si="169"/>
        <v>0.96168083525665993</v>
      </c>
      <c r="Z287" s="24">
        <f t="shared" si="186"/>
        <v>0.990447092791228</v>
      </c>
      <c r="AA287" s="601">
        <f t="shared" si="170"/>
        <v>0.95825311885507669</v>
      </c>
      <c r="AB287" s="33">
        <f t="shared" si="171"/>
        <v>0.95825311885507669</v>
      </c>
      <c r="AC287" s="24">
        <f t="shared" si="187"/>
        <v>0.99225599567131928</v>
      </c>
      <c r="AD287" s="601">
        <f t="shared" si="172"/>
        <v>0.9671766643976597</v>
      </c>
      <c r="AE287" s="33">
        <f t="shared" si="173"/>
        <v>0.9671766643976597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0.94878242864628126</v>
      </c>
      <c r="AL287" s="141">
        <f t="shared" si="178"/>
        <v>0.96110288740340877</v>
      </c>
      <c r="AM287" s="141">
        <f t="shared" si="150"/>
        <v>0.9936981234472646</v>
      </c>
      <c r="AN287" s="141">
        <f t="shared" si="151"/>
        <v>0.99261774490031307</v>
      </c>
      <c r="AO287" s="141">
        <f t="shared" si="152"/>
        <v>0.99261774490031307</v>
      </c>
      <c r="AP287" s="141">
        <f t="shared" si="153"/>
        <v>0.99481338072554271</v>
      </c>
      <c r="AQ287" s="141">
        <f t="shared" si="154"/>
        <v>0.996482691075947</v>
      </c>
      <c r="AR287" s="141">
        <f t="shared" si="155"/>
        <v>0.99432456604939834</v>
      </c>
    </row>
    <row r="288" spans="1:44" x14ac:dyDescent="0.2">
      <c r="A288" s="568" t="s">
        <v>985</v>
      </c>
      <c r="B288" s="7"/>
      <c r="C288" s="24">
        <f t="shared" si="179"/>
        <v>0.99333689515623869</v>
      </c>
      <c r="D288" s="601">
        <f t="shared" si="156"/>
        <v>0.96338965037125657</v>
      </c>
      <c r="E288" s="33">
        <f t="shared" si="157"/>
        <v>0.96338965037125657</v>
      </c>
      <c r="F288" s="24">
        <f t="shared" si="180"/>
        <v>0.99337197495375962</v>
      </c>
      <c r="G288" s="601">
        <f t="shared" si="158"/>
        <v>0.96607216938916862</v>
      </c>
      <c r="H288" s="33">
        <f t="shared" si="159"/>
        <v>0.96607216938916862</v>
      </c>
      <c r="I288" s="24">
        <f t="shared" si="181"/>
        <v>0.99367046657558866</v>
      </c>
      <c r="J288" s="601">
        <f t="shared" si="160"/>
        <v>0.96722497018109532</v>
      </c>
      <c r="K288" s="33">
        <f t="shared" si="161"/>
        <v>0.96722497018109532</v>
      </c>
      <c r="L288" s="24">
        <f t="shared" si="182"/>
        <v>0.99164586127232801</v>
      </c>
      <c r="M288" s="601">
        <f t="shared" si="162"/>
        <v>0.95677546360043197</v>
      </c>
      <c r="N288" s="33">
        <f t="shared" si="163"/>
        <v>0.95677546360043197</v>
      </c>
      <c r="O288" s="568" t="s">
        <v>985</v>
      </c>
      <c r="P288" s="7"/>
      <c r="Q288" s="24">
        <f t="shared" si="183"/>
        <v>0.99361859818169029</v>
      </c>
      <c r="R288" s="601">
        <f t="shared" si="164"/>
        <v>0.97130472783787125</v>
      </c>
      <c r="S288" s="33">
        <f t="shared" si="165"/>
        <v>0.97130472783787125</v>
      </c>
      <c r="T288" s="24">
        <f t="shared" si="184"/>
        <v>0.99360708453753133</v>
      </c>
      <c r="U288" s="601">
        <f t="shared" si="166"/>
        <v>0.97041354804821212</v>
      </c>
      <c r="V288" s="33">
        <f t="shared" si="167"/>
        <v>0.97041354804821212</v>
      </c>
      <c r="W288" s="24">
        <f t="shared" si="185"/>
        <v>0.99340705475128044</v>
      </c>
      <c r="X288" s="601">
        <f t="shared" si="168"/>
        <v>0.96806322308375004</v>
      </c>
      <c r="Y288" s="33">
        <f t="shared" si="169"/>
        <v>0.96806322308375004</v>
      </c>
      <c r="Z288" s="24">
        <f t="shared" si="186"/>
        <v>0.99317411711447612</v>
      </c>
      <c r="AA288" s="601">
        <f t="shared" si="170"/>
        <v>0.96483899685096775</v>
      </c>
      <c r="AB288" s="33">
        <f t="shared" si="171"/>
        <v>0.96483899685096775</v>
      </c>
      <c r="AC288" s="24">
        <f t="shared" si="187"/>
        <v>0.99476379928035907</v>
      </c>
      <c r="AD288" s="601">
        <f t="shared" si="172"/>
        <v>0.972267652981887</v>
      </c>
      <c r="AE288" s="33">
        <f t="shared" si="173"/>
        <v>0.972267652981887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0.95677546360043197</v>
      </c>
      <c r="AL288" s="141">
        <f t="shared" si="178"/>
        <v>0.96722497018109532</v>
      </c>
      <c r="AM288" s="141">
        <f t="shared" si="150"/>
        <v>0.99429894465979018</v>
      </c>
      <c r="AN288" s="141">
        <f t="shared" si="151"/>
        <v>0.99287762544271008</v>
      </c>
      <c r="AO288" s="141">
        <f t="shared" si="152"/>
        <v>0.99287762544271008</v>
      </c>
      <c r="AP288" s="141">
        <f t="shared" si="153"/>
        <v>0.99575615024940844</v>
      </c>
      <c r="AQ288" s="141">
        <f t="shared" si="154"/>
        <v>0.99736489301326048</v>
      </c>
      <c r="AR288" s="141">
        <f t="shared" si="155"/>
        <v>0.99454983058900093</v>
      </c>
    </row>
    <row r="289" spans="1:44" x14ac:dyDescent="0.2">
      <c r="A289" s="568" t="s">
        <v>986</v>
      </c>
      <c r="B289" s="7"/>
      <c r="C289" s="24">
        <f t="shared" si="179"/>
        <v>0.99394390175678871</v>
      </c>
      <c r="D289" s="601">
        <f t="shared" si="156"/>
        <v>0.96925958162072556</v>
      </c>
      <c r="E289" s="33">
        <f t="shared" si="157"/>
        <v>0.96925958162072556</v>
      </c>
      <c r="F289" s="24">
        <f t="shared" si="180"/>
        <v>0.994570076513413</v>
      </c>
      <c r="G289" s="601">
        <f t="shared" si="158"/>
        <v>0.9713465065989646</v>
      </c>
      <c r="H289" s="33">
        <f t="shared" si="159"/>
        <v>0.9713465065989646</v>
      </c>
      <c r="I289" s="24">
        <f t="shared" si="181"/>
        <v>0.99488137327774984</v>
      </c>
      <c r="J289" s="601">
        <f t="shared" si="160"/>
        <v>0.9722013057641864</v>
      </c>
      <c r="K289" s="33">
        <f t="shared" si="161"/>
        <v>0.9722013057641864</v>
      </c>
      <c r="L289" s="24">
        <f t="shared" si="182"/>
        <v>0.99357150892583668</v>
      </c>
      <c r="M289" s="601">
        <f t="shared" si="162"/>
        <v>0.96296588117227178</v>
      </c>
      <c r="N289" s="33">
        <f t="shared" si="163"/>
        <v>0.96296588117227178</v>
      </c>
      <c r="O289" s="568" t="s">
        <v>986</v>
      </c>
      <c r="P289" s="7"/>
      <c r="Q289" s="24">
        <f t="shared" si="183"/>
        <v>0.99504410882163885</v>
      </c>
      <c r="R289" s="601">
        <f t="shared" si="164"/>
        <v>0.97614238326391334</v>
      </c>
      <c r="S289" s="33">
        <f t="shared" si="165"/>
        <v>0.97614238326391334</v>
      </c>
      <c r="T289" s="24">
        <f t="shared" si="184"/>
        <v>0.99513324555390736</v>
      </c>
      <c r="U289" s="601">
        <f t="shared" si="166"/>
        <v>0.9751594094397521</v>
      </c>
      <c r="V289" s="33">
        <f t="shared" si="167"/>
        <v>0.9751594094397521</v>
      </c>
      <c r="W289" s="24">
        <f t="shared" si="185"/>
        <v>0.99519625127003752</v>
      </c>
      <c r="X289" s="601">
        <f t="shared" si="168"/>
        <v>0.97273600241996372</v>
      </c>
      <c r="Y289" s="33">
        <f t="shared" si="169"/>
        <v>0.97273600241996372</v>
      </c>
      <c r="Z289" s="24">
        <f t="shared" si="186"/>
        <v>0.99492478152117536</v>
      </c>
      <c r="AA289" s="601">
        <f t="shared" si="170"/>
        <v>0.96976074450150052</v>
      </c>
      <c r="AB289" s="33">
        <f t="shared" si="171"/>
        <v>0.96976074450150052</v>
      </c>
      <c r="AC289" s="24">
        <f t="shared" si="187"/>
        <v>0.99546055856299809</v>
      </c>
      <c r="AD289" s="601">
        <f t="shared" si="172"/>
        <v>0.97670133147757121</v>
      </c>
      <c r="AE289" s="33">
        <f t="shared" si="173"/>
        <v>0.97670133147757121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0.96296588117227178</v>
      </c>
      <c r="AL289" s="141">
        <f t="shared" si="178"/>
        <v>0.9722013057641864</v>
      </c>
      <c r="AM289" s="141">
        <f t="shared" si="150"/>
        <v>0.99486627843763187</v>
      </c>
      <c r="AN289" s="141">
        <f t="shared" si="151"/>
        <v>0.99310653582844388</v>
      </c>
      <c r="AO289" s="141">
        <f t="shared" si="152"/>
        <v>0.99310653582844388</v>
      </c>
      <c r="AP289" s="141">
        <f t="shared" si="153"/>
        <v>0.99666313698312092</v>
      </c>
      <c r="AQ289" s="141">
        <f t="shared" si="154"/>
        <v>0.99792745007590133</v>
      </c>
      <c r="AR289" s="141">
        <f t="shared" si="155"/>
        <v>0.99484455498812707</v>
      </c>
    </row>
    <row r="290" spans="1:44" x14ac:dyDescent="0.2">
      <c r="A290" s="568" t="s">
        <v>987</v>
      </c>
      <c r="B290" s="7"/>
      <c r="C290" s="24">
        <f t="shared" si="179"/>
        <v>0.99418900856788073</v>
      </c>
      <c r="D290" s="601">
        <f t="shared" si="156"/>
        <v>0.97492486163866798</v>
      </c>
      <c r="E290" s="33">
        <f t="shared" si="157"/>
        <v>0.97492486163866798</v>
      </c>
      <c r="F290" s="24">
        <f t="shared" si="180"/>
        <v>0.99537774514674948</v>
      </c>
      <c r="G290" s="601">
        <f t="shared" si="158"/>
        <v>0.97585716712579107</v>
      </c>
      <c r="H290" s="33">
        <f t="shared" si="159"/>
        <v>0.97585716712579107</v>
      </c>
      <c r="I290" s="24">
        <f t="shared" si="181"/>
        <v>0.99599198235470332</v>
      </c>
      <c r="J290" s="601">
        <f t="shared" si="160"/>
        <v>0.97611358624165678</v>
      </c>
      <c r="K290" s="33">
        <f t="shared" si="161"/>
        <v>0.97611358624165678</v>
      </c>
      <c r="L290" s="24">
        <f t="shared" si="182"/>
        <v>0.99499332546700381</v>
      </c>
      <c r="M290" s="601">
        <f t="shared" si="162"/>
        <v>0.96781139785063397</v>
      </c>
      <c r="N290" s="33">
        <f t="shared" si="163"/>
        <v>0.96781139785063397</v>
      </c>
      <c r="O290" s="568" t="s">
        <v>987</v>
      </c>
      <c r="P290" s="7"/>
      <c r="Q290" s="24">
        <f t="shared" si="183"/>
        <v>0.99543011420126448</v>
      </c>
      <c r="R290" s="601">
        <f t="shared" si="164"/>
        <v>0.98062372168353806</v>
      </c>
      <c r="S290" s="33">
        <f t="shared" si="165"/>
        <v>0.98062372168353806</v>
      </c>
      <c r="T290" s="24">
        <f t="shared" si="184"/>
        <v>0.99604341132320029</v>
      </c>
      <c r="U290" s="601">
        <f t="shared" si="166"/>
        <v>0.97903304048193573</v>
      </c>
      <c r="V290" s="33">
        <f t="shared" si="167"/>
        <v>0.97903304048193573</v>
      </c>
      <c r="W290" s="24">
        <f t="shared" si="185"/>
        <v>0.99641799719139112</v>
      </c>
      <c r="X290" s="601">
        <f t="shared" si="168"/>
        <v>0.97623287130684111</v>
      </c>
      <c r="Y290" s="33">
        <f t="shared" si="169"/>
        <v>0.97623287130684111</v>
      </c>
      <c r="Z290" s="24">
        <f t="shared" si="186"/>
        <v>0.99572399586194693</v>
      </c>
      <c r="AA290" s="601">
        <f t="shared" si="170"/>
        <v>0.97392525291311138</v>
      </c>
      <c r="AB290" s="33">
        <f t="shared" si="171"/>
        <v>0.97392525291311138</v>
      </c>
      <c r="AC290" s="24">
        <f t="shared" si="187"/>
        <v>0.99721517003331772</v>
      </c>
      <c r="AD290" s="601">
        <f t="shared" si="172"/>
        <v>0.97942887435711479</v>
      </c>
      <c r="AE290" s="33">
        <f t="shared" si="173"/>
        <v>0.97942887435711479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0.96781139785063397</v>
      </c>
      <c r="AL290" s="141">
        <f t="shared" si="178"/>
        <v>0.97611358624165678</v>
      </c>
      <c r="AM290" s="141">
        <f t="shared" si="150"/>
        <v>0.9952950613899455</v>
      </c>
      <c r="AN290" s="141">
        <f t="shared" si="151"/>
        <v>0.99336017317771619</v>
      </c>
      <c r="AO290" s="141">
        <f t="shared" si="152"/>
        <v>0.99336017317771619</v>
      </c>
      <c r="AP290" s="141">
        <f t="shared" si="153"/>
        <v>0.99739136680592799</v>
      </c>
      <c r="AQ290" s="141">
        <f t="shared" si="154"/>
        <v>0.99855015718560391</v>
      </c>
      <c r="AR290" s="141">
        <f t="shared" si="155"/>
        <v>0.99554318904125416</v>
      </c>
    </row>
    <row r="291" spans="1:44" x14ac:dyDescent="0.2">
      <c r="A291" s="568" t="s">
        <v>988</v>
      </c>
      <c r="B291" s="7"/>
      <c r="C291" s="24">
        <f t="shared" si="179"/>
        <v>0.99596423236386433</v>
      </c>
      <c r="D291" s="601">
        <f t="shared" si="156"/>
        <v>0.97887537519770107</v>
      </c>
      <c r="E291" s="33">
        <f t="shared" si="157"/>
        <v>0.97887537519770107</v>
      </c>
      <c r="F291" s="24">
        <f t="shared" si="180"/>
        <v>0.99604266342718073</v>
      </c>
      <c r="G291" s="601">
        <f t="shared" si="158"/>
        <v>0.97973430552468965</v>
      </c>
      <c r="H291" s="33">
        <f t="shared" si="159"/>
        <v>0.97973430552468965</v>
      </c>
      <c r="I291" s="24">
        <f t="shared" si="181"/>
        <v>0.99611952501947953</v>
      </c>
      <c r="J291" s="601">
        <f t="shared" si="160"/>
        <v>0.9799161262525885</v>
      </c>
      <c r="K291" s="33">
        <f t="shared" si="161"/>
        <v>0.9799161262525885</v>
      </c>
      <c r="L291" s="24">
        <f t="shared" si="182"/>
        <v>0.99630878555305757</v>
      </c>
      <c r="M291" s="601">
        <f t="shared" si="162"/>
        <v>0.9713970326111252</v>
      </c>
      <c r="N291" s="33">
        <f t="shared" si="163"/>
        <v>0.9713970326111252</v>
      </c>
      <c r="O291" s="568" t="s">
        <v>988</v>
      </c>
      <c r="P291" s="7"/>
      <c r="Q291" s="24">
        <f t="shared" si="183"/>
        <v>0.99624178767492988</v>
      </c>
      <c r="R291" s="601">
        <f t="shared" si="164"/>
        <v>0.98432301657628529</v>
      </c>
      <c r="S291" s="33">
        <f t="shared" si="165"/>
        <v>0.98432301657628529</v>
      </c>
      <c r="T291" s="24">
        <f t="shared" si="184"/>
        <v>0.99607790231518278</v>
      </c>
      <c r="U291" s="601">
        <f t="shared" si="166"/>
        <v>0.98288802332264402</v>
      </c>
      <c r="V291" s="33">
        <f t="shared" si="167"/>
        <v>0.98288802332264402</v>
      </c>
      <c r="W291" s="24">
        <f t="shared" si="185"/>
        <v>0.99612109449049713</v>
      </c>
      <c r="X291" s="601">
        <f t="shared" si="168"/>
        <v>0.98003433187625788</v>
      </c>
      <c r="Y291" s="33">
        <f t="shared" si="169"/>
        <v>0.98003433187625788</v>
      </c>
      <c r="Z291" s="24">
        <f t="shared" si="186"/>
        <v>0.99528519842831342</v>
      </c>
      <c r="AA291" s="601">
        <f t="shared" si="170"/>
        <v>0.97853886951304792</v>
      </c>
      <c r="AB291" s="33">
        <f t="shared" si="171"/>
        <v>0.97853886951304792</v>
      </c>
      <c r="AC291" s="24">
        <f t="shared" si="187"/>
        <v>0.99710757479524281</v>
      </c>
      <c r="AD291" s="601">
        <f t="shared" si="172"/>
        <v>0.98227001691190807</v>
      </c>
      <c r="AE291" s="33">
        <f t="shared" si="173"/>
        <v>0.98227001691190807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0.9713970326111252</v>
      </c>
      <c r="AL291" s="141">
        <f t="shared" si="178"/>
        <v>0.9799161262525885</v>
      </c>
      <c r="AM291" s="141">
        <f t="shared" si="150"/>
        <v>0.99567468979523854</v>
      </c>
      <c r="AN291" s="141">
        <f t="shared" si="151"/>
        <v>0.99390925854071088</v>
      </c>
      <c r="AO291" s="141">
        <f t="shared" si="152"/>
        <v>0.99390925854071088</v>
      </c>
      <c r="AP291" s="141">
        <f t="shared" si="153"/>
        <v>0.99760096830605016</v>
      </c>
      <c r="AQ291" s="141">
        <f t="shared" si="154"/>
        <v>0.99876195362558351</v>
      </c>
      <c r="AR291" s="141">
        <f t="shared" si="155"/>
        <v>0.99643446807255764</v>
      </c>
    </row>
    <row r="292" spans="1:44" x14ac:dyDescent="0.2">
      <c r="A292" s="568" t="s">
        <v>989</v>
      </c>
      <c r="B292" s="7"/>
      <c r="C292" s="24">
        <f t="shared" si="179"/>
        <v>0.99724048113010777</v>
      </c>
      <c r="D292" s="601">
        <f t="shared" si="156"/>
        <v>0.98158407497498024</v>
      </c>
      <c r="E292" s="33">
        <f>MIN(SUMPRODUCT(D287:D297,$G$329:$G$339),$E$275)</f>
        <v>0.98158407497498024</v>
      </c>
      <c r="F292" s="24">
        <f t="shared" si="180"/>
        <v>0.99673646470425015</v>
      </c>
      <c r="G292" s="601">
        <f t="shared" si="158"/>
        <v>0.98294217199668188</v>
      </c>
      <c r="H292" s="33">
        <f t="shared" si="159"/>
        <v>0.98294217199668188</v>
      </c>
      <c r="I292" s="24">
        <f t="shared" si="181"/>
        <v>0.99694273479594442</v>
      </c>
      <c r="J292" s="601">
        <f t="shared" si="160"/>
        <v>0.98292117696525372</v>
      </c>
      <c r="K292" s="33">
        <f t="shared" si="161"/>
        <v>0.98292117696525372</v>
      </c>
      <c r="L292" s="24">
        <f t="shared" si="182"/>
        <v>0.99653493767446433</v>
      </c>
      <c r="M292" s="601">
        <f t="shared" si="162"/>
        <v>0.97477468765721198</v>
      </c>
      <c r="N292" s="33">
        <f t="shared" si="163"/>
        <v>0.97477468765721198</v>
      </c>
      <c r="O292" s="568" t="s">
        <v>989</v>
      </c>
      <c r="P292" s="7"/>
      <c r="Q292" s="24">
        <f t="shared" si="183"/>
        <v>0.99702153042159225</v>
      </c>
      <c r="R292" s="601">
        <f t="shared" si="164"/>
        <v>0.98726355102889563</v>
      </c>
      <c r="S292" s="33">
        <f t="shared" si="165"/>
        <v>0.98726355102889563</v>
      </c>
      <c r="T292" s="24">
        <f t="shared" si="184"/>
        <v>0.9969035208948499</v>
      </c>
      <c r="U292" s="601">
        <f t="shared" si="166"/>
        <v>0.9859409689318529</v>
      </c>
      <c r="V292" s="33">
        <f t="shared" si="167"/>
        <v>0.9859409689318529</v>
      </c>
      <c r="W292" s="24">
        <f t="shared" si="185"/>
        <v>0.99623244827839263</v>
      </c>
      <c r="X292" s="601">
        <f t="shared" si="168"/>
        <v>0.98374062556371555</v>
      </c>
      <c r="Y292" s="33">
        <f t="shared" si="169"/>
        <v>0.98374062556371555</v>
      </c>
      <c r="Z292" s="24">
        <f t="shared" si="186"/>
        <v>0.99635036272234556</v>
      </c>
      <c r="AA292" s="601">
        <f t="shared" si="170"/>
        <v>0.98212326318562182</v>
      </c>
      <c r="AB292" s="33">
        <f t="shared" si="171"/>
        <v>0.98212326318562182</v>
      </c>
      <c r="AC292" s="24">
        <f t="shared" si="187"/>
        <v>0.99791453901462523</v>
      </c>
      <c r="AD292" s="601">
        <f t="shared" si="172"/>
        <v>0.98432278367427628</v>
      </c>
      <c r="AE292" s="33">
        <f t="shared" si="173"/>
        <v>0.98432278367427628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0.97477468765721198</v>
      </c>
      <c r="AL292" s="141">
        <f t="shared" si="178"/>
        <v>0.98292117696525372</v>
      </c>
    </row>
    <row r="293" spans="1:44" x14ac:dyDescent="0.2">
      <c r="A293" s="568" t="s">
        <v>990</v>
      </c>
      <c r="B293" s="7"/>
      <c r="C293" s="24">
        <f t="shared" si="179"/>
        <v>0.99740538676240076</v>
      </c>
      <c r="D293" s="601">
        <f t="shared" si="156"/>
        <v>0.98413753124115677</v>
      </c>
      <c r="E293" s="33">
        <f t="shared" si="157"/>
        <v>0.98413753124115677</v>
      </c>
      <c r="F293" s="24">
        <f t="shared" si="180"/>
        <v>0.9974082452820533</v>
      </c>
      <c r="G293" s="601">
        <f t="shared" si="158"/>
        <v>0.98549633677704296</v>
      </c>
      <c r="H293" s="33">
        <f t="shared" si="159"/>
        <v>0.98549633677704296</v>
      </c>
      <c r="I293" s="24">
        <f t="shared" si="181"/>
        <v>0.99757634414364238</v>
      </c>
      <c r="J293" s="601">
        <f t="shared" si="160"/>
        <v>0.9853092274446732</v>
      </c>
      <c r="K293" s="33">
        <f t="shared" si="161"/>
        <v>0.9853092274446732</v>
      </c>
      <c r="L293" s="24">
        <f t="shared" si="182"/>
        <v>0.99654063075542665</v>
      </c>
      <c r="M293" s="601">
        <f t="shared" si="162"/>
        <v>0.97815849908526553</v>
      </c>
      <c r="N293" s="33">
        <f t="shared" si="163"/>
        <v>0.97815849908526553</v>
      </c>
      <c r="O293" s="568" t="s">
        <v>990</v>
      </c>
      <c r="P293" s="7"/>
      <c r="Q293" s="24">
        <f t="shared" si="183"/>
        <v>0.99740594985905484</v>
      </c>
      <c r="R293" s="601">
        <f t="shared" si="164"/>
        <v>0.98983122285204694</v>
      </c>
      <c r="S293" s="33">
        <f t="shared" si="165"/>
        <v>0.98983122285204694</v>
      </c>
      <c r="T293" s="24">
        <f t="shared" si="184"/>
        <v>0.9976357273894042</v>
      </c>
      <c r="U293" s="601">
        <f t="shared" si="166"/>
        <v>0.98827752641923328</v>
      </c>
      <c r="V293" s="33">
        <f t="shared" si="167"/>
        <v>0.98827752641923328</v>
      </c>
      <c r="W293" s="24">
        <f t="shared" si="185"/>
        <v>0.99737490698912967</v>
      </c>
      <c r="X293" s="601">
        <f t="shared" si="168"/>
        <v>0.98632983311503875</v>
      </c>
      <c r="Y293" s="33">
        <f t="shared" si="169"/>
        <v>0.98632983311503875</v>
      </c>
      <c r="Z293" s="24">
        <f t="shared" si="186"/>
        <v>0.99764055977729704</v>
      </c>
      <c r="AA293" s="601">
        <f t="shared" si="170"/>
        <v>0.98444600468615762</v>
      </c>
      <c r="AB293" s="33">
        <f t="shared" si="171"/>
        <v>0.98444600468615762</v>
      </c>
      <c r="AC293" s="24">
        <f t="shared" si="187"/>
        <v>0.99784832623316599</v>
      </c>
      <c r="AD293" s="601">
        <f t="shared" si="172"/>
        <v>0.98644529213177312</v>
      </c>
      <c r="AE293" s="33">
        <f t="shared" si="173"/>
        <v>0.98644529213177312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0.97815849908526553</v>
      </c>
      <c r="AL293" s="141">
        <f t="shared" si="178"/>
        <v>0.9853092274446732</v>
      </c>
    </row>
    <row r="294" spans="1:44" x14ac:dyDescent="0.2">
      <c r="A294" s="568" t="s">
        <v>991</v>
      </c>
      <c r="B294" s="7"/>
      <c r="C294" s="24">
        <f t="shared" si="179"/>
        <v>0.99733299707791045</v>
      </c>
      <c r="D294" s="601">
        <f t="shared" si="156"/>
        <v>0.98676924770822272</v>
      </c>
      <c r="E294" s="33">
        <f t="shared" si="157"/>
        <v>0.98676924770822272</v>
      </c>
      <c r="F294" s="24">
        <f t="shared" si="180"/>
        <v>0.9976029102657108</v>
      </c>
      <c r="G294" s="601">
        <f t="shared" si="158"/>
        <v>0.98786433623630543</v>
      </c>
      <c r="H294" s="33">
        <f t="shared" si="159"/>
        <v>0.98786433623630543</v>
      </c>
      <c r="I294" s="24">
        <f t="shared" si="181"/>
        <v>0.99784384680003779</v>
      </c>
      <c r="J294" s="601">
        <f t="shared" si="160"/>
        <v>0.98743829568568109</v>
      </c>
      <c r="K294" s="33">
        <f t="shared" si="161"/>
        <v>0.98743829568568109</v>
      </c>
      <c r="L294" s="24">
        <f t="shared" si="182"/>
        <v>0.9960270527024887</v>
      </c>
      <c r="M294" s="601">
        <f t="shared" si="162"/>
        <v>0.98206017239316845</v>
      </c>
      <c r="N294" s="33">
        <f t="shared" si="163"/>
        <v>0.98206017239316845</v>
      </c>
      <c r="O294" s="568" t="s">
        <v>991</v>
      </c>
      <c r="P294" s="7"/>
      <c r="Q294" s="24">
        <f t="shared" si="183"/>
        <v>0.99735289441670494</v>
      </c>
      <c r="R294" s="601">
        <f t="shared" si="164"/>
        <v>0.99245836493104378</v>
      </c>
      <c r="S294" s="33">
        <f t="shared" si="165"/>
        <v>0.99245836493104378</v>
      </c>
      <c r="T294" s="24">
        <f t="shared" si="184"/>
        <v>0.99788357658247917</v>
      </c>
      <c r="U294" s="601">
        <f t="shared" si="166"/>
        <v>0.99037357624809863</v>
      </c>
      <c r="V294" s="33">
        <f t="shared" si="167"/>
        <v>0.99037357624809863</v>
      </c>
      <c r="W294" s="24">
        <f t="shared" si="185"/>
        <v>0.99787167346070349</v>
      </c>
      <c r="X294" s="601">
        <f t="shared" si="168"/>
        <v>0.98843354245577819</v>
      </c>
      <c r="Y294" s="33">
        <f t="shared" si="169"/>
        <v>0.98843354245577819</v>
      </c>
      <c r="Z294" s="24">
        <f t="shared" si="186"/>
        <v>0.99778783452320619</v>
      </c>
      <c r="AA294" s="601">
        <f t="shared" si="170"/>
        <v>0.98662859039224104</v>
      </c>
      <c r="AB294" s="33">
        <f t="shared" si="171"/>
        <v>0.98662859039224104</v>
      </c>
      <c r="AC294" s="24">
        <f t="shared" si="187"/>
        <v>0.99817406267850262</v>
      </c>
      <c r="AD294" s="601">
        <f t="shared" si="172"/>
        <v>0.98824977427758798</v>
      </c>
      <c r="AE294" s="33">
        <f t="shared" si="173"/>
        <v>0.98824977427758798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0.98206017239316845</v>
      </c>
      <c r="AL294" s="141">
        <f t="shared" si="178"/>
        <v>0.98743829568568109</v>
      </c>
    </row>
    <row r="295" spans="1:44" x14ac:dyDescent="0.2">
      <c r="A295" s="568" t="s">
        <v>992</v>
      </c>
      <c r="B295" s="7"/>
      <c r="C295" s="24">
        <f t="shared" si="179"/>
        <v>0.99795890765797035</v>
      </c>
      <c r="D295" s="601">
        <f t="shared" si="156"/>
        <v>0.98878745420890346</v>
      </c>
      <c r="E295" s="33">
        <f t="shared" si="157"/>
        <v>0.98878745420890346</v>
      </c>
      <c r="F295" s="24">
        <f t="shared" si="180"/>
        <v>0.99791414056851746</v>
      </c>
      <c r="G295" s="601">
        <f t="shared" si="158"/>
        <v>0.98992918937245789</v>
      </c>
      <c r="H295" s="33">
        <f t="shared" si="159"/>
        <v>0.98992918937245789</v>
      </c>
      <c r="I295" s="24">
        <f t="shared" si="181"/>
        <v>0.99767658711629714</v>
      </c>
      <c r="J295" s="601">
        <f t="shared" si="160"/>
        <v>0.98973786539362518</v>
      </c>
      <c r="K295" s="33">
        <f t="shared" si="161"/>
        <v>0.98973786539362518</v>
      </c>
      <c r="L295" s="24">
        <f t="shared" si="182"/>
        <v>0.99640493945034836</v>
      </c>
      <c r="M295" s="601">
        <f t="shared" si="162"/>
        <v>0.98560347656938252</v>
      </c>
      <c r="N295" s="33">
        <f t="shared" si="163"/>
        <v>0.98560347656938252</v>
      </c>
      <c r="O295" s="568" t="s">
        <v>992</v>
      </c>
      <c r="P295" s="7"/>
      <c r="Q295" s="24">
        <f t="shared" si="183"/>
        <v>0.99820920395646551</v>
      </c>
      <c r="R295" s="601">
        <f t="shared" si="164"/>
        <v>0.99423884391906237</v>
      </c>
      <c r="S295" s="33">
        <f t="shared" si="165"/>
        <v>0.99423884391906237</v>
      </c>
      <c r="T295" s="24">
        <f t="shared" si="184"/>
        <v>0.99787960765047912</v>
      </c>
      <c r="U295" s="601">
        <f t="shared" si="166"/>
        <v>0.99247801904675303</v>
      </c>
      <c r="V295" s="33">
        <f t="shared" si="167"/>
        <v>0.99247801904675303</v>
      </c>
      <c r="W295" s="24">
        <f t="shared" si="185"/>
        <v>0.99786937347906457</v>
      </c>
      <c r="X295" s="601">
        <f t="shared" si="168"/>
        <v>0.9905440218188194</v>
      </c>
      <c r="Y295" s="33">
        <f t="shared" si="169"/>
        <v>0.9905440218188194</v>
      </c>
      <c r="Z295" s="24">
        <f t="shared" si="186"/>
        <v>0.99760162274549546</v>
      </c>
      <c r="AA295" s="601">
        <f t="shared" si="170"/>
        <v>0.9890005869045646</v>
      </c>
      <c r="AB295" s="33">
        <f t="shared" si="171"/>
        <v>0.9890005869045646</v>
      </c>
      <c r="AC295" s="24">
        <f t="shared" si="187"/>
        <v>0.99727644458265841</v>
      </c>
      <c r="AD295" s="601">
        <f t="shared" si="172"/>
        <v>0.99094867791763808</v>
      </c>
      <c r="AE295" s="33">
        <f t="shared" si="173"/>
        <v>0.99094867791763808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0.98560347656938252</v>
      </c>
      <c r="AL295" s="141">
        <f t="shared" si="178"/>
        <v>0.98973786539362518</v>
      </c>
    </row>
    <row r="296" spans="1:44" x14ac:dyDescent="0.2">
      <c r="A296" s="568" t="s">
        <v>993</v>
      </c>
      <c r="B296" s="7"/>
      <c r="C296" s="24">
        <f t="shared" si="179"/>
        <v>0.99899473376476999</v>
      </c>
      <c r="D296" s="601">
        <f t="shared" si="156"/>
        <v>0.98978244908519208</v>
      </c>
      <c r="E296" s="33">
        <f t="shared" si="157"/>
        <v>0.98978244908519208</v>
      </c>
      <c r="F296" s="24">
        <f t="shared" si="180"/>
        <v>0.99866637821078508</v>
      </c>
      <c r="G296" s="601">
        <f t="shared" si="158"/>
        <v>0.9912511434960084</v>
      </c>
      <c r="H296" s="33">
        <f t="shared" si="159"/>
        <v>0.9912511434960084</v>
      </c>
      <c r="I296" s="24">
        <f t="shared" si="181"/>
        <v>0.99859204456798911</v>
      </c>
      <c r="J296" s="601">
        <f t="shared" si="160"/>
        <v>0.99113333695924399</v>
      </c>
      <c r="K296" s="33">
        <f t="shared" si="161"/>
        <v>0.99113333695924399</v>
      </c>
      <c r="L296" s="24">
        <f t="shared" si="182"/>
        <v>0.99777048272882873</v>
      </c>
      <c r="M296" s="601">
        <f t="shared" si="162"/>
        <v>0.98780580667592977</v>
      </c>
      <c r="N296" s="33">
        <f t="shared" si="163"/>
        <v>0.98780580667592977</v>
      </c>
      <c r="O296" s="568" t="s">
        <v>993</v>
      </c>
      <c r="P296" s="7"/>
      <c r="Q296" s="24">
        <f t="shared" si="183"/>
        <v>0.99895862175732442</v>
      </c>
      <c r="R296" s="601">
        <f t="shared" si="164"/>
        <v>0.99527530196400005</v>
      </c>
      <c r="S296" s="33">
        <f t="shared" si="165"/>
        <v>0.99527530196400005</v>
      </c>
      <c r="T296" s="24">
        <f t="shared" si="184"/>
        <v>0.99877824563026019</v>
      </c>
      <c r="U296" s="601">
        <f t="shared" si="166"/>
        <v>0.99369206667138454</v>
      </c>
      <c r="V296" s="33">
        <f t="shared" si="167"/>
        <v>0.99369206667138454</v>
      </c>
      <c r="W296" s="24">
        <f t="shared" si="185"/>
        <v>0.99833802265680038</v>
      </c>
      <c r="X296" s="601">
        <f t="shared" si="168"/>
        <v>0.99219302414502919</v>
      </c>
      <c r="Y296" s="33">
        <f t="shared" si="169"/>
        <v>0.99219302414502919</v>
      </c>
      <c r="Z296" s="24">
        <f t="shared" si="186"/>
        <v>0.99853241409248117</v>
      </c>
      <c r="AA296" s="601">
        <f t="shared" si="170"/>
        <v>0.99045416347692672</v>
      </c>
      <c r="AB296" s="33">
        <f t="shared" si="171"/>
        <v>0.99045416347692672</v>
      </c>
      <c r="AC296" s="24">
        <f t="shared" si="187"/>
        <v>0.99808367325223368</v>
      </c>
      <c r="AD296" s="601">
        <f t="shared" si="172"/>
        <v>0.99285130543078981</v>
      </c>
      <c r="AE296" s="33">
        <f t="shared" si="173"/>
        <v>0.99285130543078981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0.98780580667592977</v>
      </c>
      <c r="AL296" s="141">
        <f t="shared" si="178"/>
        <v>0.99113333695924399</v>
      </c>
    </row>
    <row r="297" spans="1:44" x14ac:dyDescent="0.2">
      <c r="A297" s="568" t="s">
        <v>994</v>
      </c>
      <c r="B297" s="7"/>
      <c r="C297" s="24">
        <f t="shared" si="179"/>
        <v>0.99970662366447771</v>
      </c>
      <c r="D297" s="601">
        <f t="shared" si="156"/>
        <v>0.99007291304832212</v>
      </c>
      <c r="E297" s="33">
        <f t="shared" si="157"/>
        <v>0.99007291304832212</v>
      </c>
      <c r="F297" s="24">
        <f t="shared" si="180"/>
        <v>0.99935489427600444</v>
      </c>
      <c r="G297" s="601">
        <f t="shared" si="158"/>
        <v>0.99189101806934477</v>
      </c>
      <c r="H297" s="33">
        <f t="shared" si="159"/>
        <v>0.99189101806934477</v>
      </c>
      <c r="I297" s="24">
        <f t="shared" ref="I297:I316" si="188">IF(+Z251=0,1,Z251)</f>
        <v>0.99897385924447846</v>
      </c>
      <c r="J297" s="601">
        <f t="shared" si="160"/>
        <v>0.9921514239710294</v>
      </c>
      <c r="K297" s="33">
        <f t="shared" si="161"/>
        <v>0.9921514239710294</v>
      </c>
      <c r="L297" s="24">
        <f t="shared" si="182"/>
        <v>0.99818425726568127</v>
      </c>
      <c r="M297" s="601">
        <f t="shared" si="162"/>
        <v>0.98960267053481576</v>
      </c>
      <c r="N297" s="33">
        <f t="shared" si="163"/>
        <v>0.98960267053481576</v>
      </c>
      <c r="O297" s="568" t="s">
        <v>994</v>
      </c>
      <c r="P297" s="7"/>
      <c r="Q297" s="24">
        <f t="shared" ref="Q297:Q316" si="189">IF(+AB251=0,1,AB251)</f>
        <v>0.99953414060233037</v>
      </c>
      <c r="R297" s="601">
        <f t="shared" si="164"/>
        <v>0.99573917641696175</v>
      </c>
      <c r="S297" s="33">
        <f t="shared" si="165"/>
        <v>0.99573917641696175</v>
      </c>
      <c r="T297" s="24">
        <f t="shared" ref="T297:T316" si="190">IF(+AC251=0,1,AC251)</f>
        <v>0.99903566041486047</v>
      </c>
      <c r="U297" s="601">
        <f t="shared" si="166"/>
        <v>0.99465124824347417</v>
      </c>
      <c r="V297" s="33">
        <f t="shared" si="167"/>
        <v>0.99465124824347417</v>
      </c>
      <c r="W297" s="24">
        <f t="shared" ref="W297:W316" si="191">IF(+AD251=0,1,AD251)</f>
        <v>0.99900050741614899</v>
      </c>
      <c r="X297" s="601">
        <f t="shared" si="168"/>
        <v>0.99318570589245558</v>
      </c>
      <c r="Y297" s="33">
        <f t="shared" si="169"/>
        <v>0.99318570589245558</v>
      </c>
      <c r="Z297" s="24">
        <f t="shared" ref="Z297:Z316" si="192">IF(+AE251=0,1,AE251)</f>
        <v>0.99769427308508973</v>
      </c>
      <c r="AA297" s="601">
        <f t="shared" si="170"/>
        <v>0.992743158096142</v>
      </c>
      <c r="AB297" s="33">
        <f t="shared" si="171"/>
        <v>0.992743158096142</v>
      </c>
      <c r="AC297" s="24">
        <f t="shared" ref="AC297:AC316" si="193">IF(+AF251=0,1,AF251)</f>
        <v>0.99940567489565713</v>
      </c>
      <c r="AD297" s="601">
        <f t="shared" si="172"/>
        <v>0.9934417327922902</v>
      </c>
      <c r="AE297" s="33">
        <f t="shared" si="173"/>
        <v>0.9934417327922902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0.98960267053481576</v>
      </c>
      <c r="AL297" s="141">
        <f t="shared" si="178"/>
        <v>0.9921514239710294</v>
      </c>
    </row>
    <row r="298" spans="1:44" x14ac:dyDescent="0.2">
      <c r="A298" s="568" t="s">
        <v>995</v>
      </c>
      <c r="B298" s="7"/>
      <c r="C298" s="24">
        <f t="shared" si="179"/>
        <v>0.99921581653698399</v>
      </c>
      <c r="D298" s="601">
        <f t="shared" si="156"/>
        <v>0.99084992117083504</v>
      </c>
      <c r="E298" s="33">
        <f t="shared" si="157"/>
        <v>0.99084992117083504</v>
      </c>
      <c r="F298" s="24">
        <f t="shared" si="180"/>
        <v>0.99917974734179815</v>
      </c>
      <c r="G298" s="601">
        <f t="shared" si="158"/>
        <v>0.99270528721999796</v>
      </c>
      <c r="H298" s="33">
        <f t="shared" si="159"/>
        <v>0.99270528721999796</v>
      </c>
      <c r="I298" s="24">
        <f t="shared" si="188"/>
        <v>0.99900837402214038</v>
      </c>
      <c r="J298" s="601">
        <f t="shared" si="160"/>
        <v>0.99313624366980635</v>
      </c>
      <c r="K298" s="33">
        <f t="shared" si="161"/>
        <v>0.99313624366980635</v>
      </c>
      <c r="L298" s="24">
        <f t="shared" ref="L298:L316" si="194">IF(+AA252=0,1,AA252)</f>
        <v>0.99779120468073434</v>
      </c>
      <c r="M298" s="601">
        <f t="shared" si="162"/>
        <v>0.99179333901972133</v>
      </c>
      <c r="N298" s="33">
        <f t="shared" si="163"/>
        <v>0.99179333901972133</v>
      </c>
      <c r="O298" s="568" t="s">
        <v>995</v>
      </c>
      <c r="P298" s="7"/>
      <c r="Q298" s="24">
        <f t="shared" si="189"/>
        <v>0.99960573618558368</v>
      </c>
      <c r="R298" s="601">
        <f t="shared" si="164"/>
        <v>0.99613191518550459</v>
      </c>
      <c r="S298" s="33">
        <f t="shared" si="165"/>
        <v>0.99613191518550459</v>
      </c>
      <c r="T298" s="24">
        <f t="shared" si="190"/>
        <v>0.9992043579732337</v>
      </c>
      <c r="U298" s="601">
        <f t="shared" si="166"/>
        <v>0.99544326474016287</v>
      </c>
      <c r="V298" s="33">
        <f t="shared" si="167"/>
        <v>0.99544326474016287</v>
      </c>
      <c r="W298" s="24">
        <f t="shared" si="191"/>
        <v>0.99882381502510231</v>
      </c>
      <c r="X298" s="601">
        <f t="shared" si="168"/>
        <v>0.9943552515990971</v>
      </c>
      <c r="Y298" s="33">
        <f t="shared" si="169"/>
        <v>0.9943552515990971</v>
      </c>
      <c r="Z298" s="24">
        <f t="shared" si="192"/>
        <v>0.99784258162099071</v>
      </c>
      <c r="AA298" s="601">
        <f t="shared" si="170"/>
        <v>0.99488955109876676</v>
      </c>
      <c r="AB298" s="33">
        <f t="shared" si="171"/>
        <v>0.99488955109876676</v>
      </c>
      <c r="AC298" s="24">
        <f t="shared" si="193"/>
        <v>0.9996451791324843</v>
      </c>
      <c r="AD298" s="601">
        <f t="shared" si="172"/>
        <v>0.99379435176631614</v>
      </c>
      <c r="AE298" s="33">
        <f t="shared" si="173"/>
        <v>0.99379435176631614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0.99179333901972133</v>
      </c>
      <c r="AL298" s="141">
        <f t="shared" si="178"/>
        <v>0.99313624366980635</v>
      </c>
    </row>
    <row r="299" spans="1:44" x14ac:dyDescent="0.2">
      <c r="A299" s="568" t="s">
        <v>996</v>
      </c>
      <c r="B299" s="7"/>
      <c r="C299" s="24">
        <f t="shared" si="179"/>
        <v>0.99821902868595647</v>
      </c>
      <c r="D299" s="601">
        <f t="shared" si="156"/>
        <v>0.99261774490031307</v>
      </c>
      <c r="E299" s="33">
        <f t="shared" si="157"/>
        <v>0.99261774490031307</v>
      </c>
      <c r="F299" s="24">
        <f t="shared" ref="F299:F316" si="195">IF(+Y253=0,1,Y253)</f>
        <v>0.99900086736219007</v>
      </c>
      <c r="G299" s="601">
        <f t="shared" si="158"/>
        <v>0.9936981234472646</v>
      </c>
      <c r="H299" s="33">
        <f t="shared" si="159"/>
        <v>0.9936981234472646</v>
      </c>
      <c r="I299" s="24">
        <f t="shared" si="188"/>
        <v>0.99896743268687516</v>
      </c>
      <c r="J299" s="601">
        <f t="shared" si="160"/>
        <v>0.99416278366414312</v>
      </c>
      <c r="K299" s="33">
        <f t="shared" si="161"/>
        <v>0.99416278366414312</v>
      </c>
      <c r="L299" s="24">
        <f t="shared" si="194"/>
        <v>0.99844085048388542</v>
      </c>
      <c r="M299" s="601">
        <f t="shared" si="162"/>
        <v>0.99334210788656896</v>
      </c>
      <c r="N299" s="33">
        <f t="shared" si="163"/>
        <v>0.99334210788656896</v>
      </c>
      <c r="O299" s="568" t="s">
        <v>996</v>
      </c>
      <c r="P299" s="7"/>
      <c r="Q299" s="24">
        <f t="shared" si="189"/>
        <v>0.99965171855623047</v>
      </c>
      <c r="R299" s="601">
        <f t="shared" si="164"/>
        <v>0.99647897031997357</v>
      </c>
      <c r="S299" s="33">
        <f t="shared" si="165"/>
        <v>0.99647897031997357</v>
      </c>
      <c r="T299" s="24">
        <f t="shared" si="190"/>
        <v>0.99925892727404941</v>
      </c>
      <c r="U299" s="601">
        <f t="shared" si="166"/>
        <v>0.99618150768560498</v>
      </c>
      <c r="V299" s="33">
        <f t="shared" si="167"/>
        <v>0.99618150768560498</v>
      </c>
      <c r="W299" s="24">
        <f t="shared" si="191"/>
        <v>0.99953948234380252</v>
      </c>
      <c r="X299" s="601">
        <f t="shared" si="168"/>
        <v>0.99481338072554271</v>
      </c>
      <c r="Y299" s="33">
        <f t="shared" si="169"/>
        <v>0.99481338072554271</v>
      </c>
      <c r="Z299" s="24">
        <f t="shared" si="192"/>
        <v>0.99840123667832092</v>
      </c>
      <c r="AA299" s="601">
        <f t="shared" si="170"/>
        <v>0.996482691075947</v>
      </c>
      <c r="AB299" s="33">
        <f t="shared" si="171"/>
        <v>0.996482691075947</v>
      </c>
      <c r="AC299" s="24">
        <f t="shared" si="193"/>
        <v>0.99946675934479945</v>
      </c>
      <c r="AD299" s="601">
        <f t="shared" si="172"/>
        <v>0.99432456604939834</v>
      </c>
      <c r="AE299" s="33">
        <f t="shared" si="173"/>
        <v>0.99432456604939834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0.99334210788656896</v>
      </c>
      <c r="AL299" s="141">
        <f t="shared" si="178"/>
        <v>0.99416278366414312</v>
      </c>
    </row>
    <row r="300" spans="1:44" x14ac:dyDescent="0.2">
      <c r="A300" s="568" t="s">
        <v>997</v>
      </c>
      <c r="B300" s="7"/>
      <c r="C300" s="24">
        <f t="shared" si="179"/>
        <v>0.99973825521319293</v>
      </c>
      <c r="D300" s="601">
        <f t="shared" si="156"/>
        <v>0.99287762544271008</v>
      </c>
      <c r="E300" s="33">
        <f t="shared" si="157"/>
        <v>0.99287762544271008</v>
      </c>
      <c r="F300" s="24">
        <f t="shared" si="195"/>
        <v>0.99939573383261393</v>
      </c>
      <c r="G300" s="601">
        <f t="shared" si="158"/>
        <v>0.99429894465979018</v>
      </c>
      <c r="H300" s="33">
        <f t="shared" si="159"/>
        <v>0.99429894465979018</v>
      </c>
      <c r="I300" s="24">
        <f t="shared" si="188"/>
        <v>0.99942010897297651</v>
      </c>
      <c r="J300" s="601">
        <f t="shared" si="160"/>
        <v>0.99473962424646833</v>
      </c>
      <c r="K300" s="33">
        <f t="shared" si="161"/>
        <v>0.99473962424646833</v>
      </c>
      <c r="L300" s="24">
        <f t="shared" si="194"/>
        <v>0.99919164113079073</v>
      </c>
      <c r="M300" s="601">
        <f t="shared" si="162"/>
        <v>0.99414573440826448</v>
      </c>
      <c r="N300" s="33">
        <f t="shared" si="163"/>
        <v>0.99414573440826448</v>
      </c>
      <c r="O300" s="568" t="s">
        <v>997</v>
      </c>
      <c r="P300" s="7"/>
      <c r="Q300" s="24">
        <f t="shared" si="189"/>
        <v>0.99946254018805325</v>
      </c>
      <c r="R300" s="601">
        <f t="shared" si="164"/>
        <v>0.99701482572071354</v>
      </c>
      <c r="S300" s="33">
        <f t="shared" si="165"/>
        <v>0.99701482572071354</v>
      </c>
      <c r="T300" s="24">
        <f t="shared" si="190"/>
        <v>0.99946527852867939</v>
      </c>
      <c r="U300" s="601">
        <f t="shared" si="166"/>
        <v>0.99671447231472765</v>
      </c>
      <c r="V300" s="33">
        <f t="shared" si="167"/>
        <v>0.99671447231472765</v>
      </c>
      <c r="W300" s="24">
        <f t="shared" si="191"/>
        <v>0.99905321245203493</v>
      </c>
      <c r="X300" s="601">
        <f t="shared" si="168"/>
        <v>0.99575615024940844</v>
      </c>
      <c r="Y300" s="33">
        <f t="shared" si="169"/>
        <v>0.99575615024940844</v>
      </c>
      <c r="Z300" s="24">
        <f t="shared" si="192"/>
        <v>0.99911546722418898</v>
      </c>
      <c r="AA300" s="601">
        <f t="shared" si="170"/>
        <v>0.99736489301326048</v>
      </c>
      <c r="AB300" s="33">
        <f t="shared" si="171"/>
        <v>0.99736489301326048</v>
      </c>
      <c r="AC300" s="24">
        <f t="shared" si="193"/>
        <v>0.99977350100248952</v>
      </c>
      <c r="AD300" s="601">
        <f t="shared" si="172"/>
        <v>0.99454983058900093</v>
      </c>
      <c r="AE300" s="33">
        <f t="shared" si="173"/>
        <v>0.99454983058900093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0.99414573440826448</v>
      </c>
      <c r="AL300" s="141">
        <f t="shared" si="178"/>
        <v>0.99473962424646833</v>
      </c>
    </row>
    <row r="301" spans="1:44" x14ac:dyDescent="0.2">
      <c r="A301" s="568" t="s">
        <v>998</v>
      </c>
      <c r="B301" s="7"/>
      <c r="C301" s="24">
        <f t="shared" si="179"/>
        <v>0.99976950067543069</v>
      </c>
      <c r="D301" s="601">
        <f t="shared" si="156"/>
        <v>0.99310653582844388</v>
      </c>
      <c r="E301" s="33">
        <f t="shared" si="157"/>
        <v>0.99310653582844388</v>
      </c>
      <c r="F301" s="24">
        <f t="shared" si="195"/>
        <v>0.99942973865921692</v>
      </c>
      <c r="G301" s="601">
        <f t="shared" si="158"/>
        <v>0.99486627843763187</v>
      </c>
      <c r="H301" s="33">
        <f t="shared" si="159"/>
        <v>0.99486627843763187</v>
      </c>
      <c r="I301" s="24">
        <f t="shared" si="188"/>
        <v>0.99952312624555828</v>
      </c>
      <c r="J301" s="601">
        <f t="shared" si="160"/>
        <v>0.99521421578602398</v>
      </c>
      <c r="K301" s="33">
        <f t="shared" si="161"/>
        <v>0.99521421578602398</v>
      </c>
      <c r="L301" s="24">
        <f t="shared" si="194"/>
        <v>0.9992045265682441</v>
      </c>
      <c r="M301" s="601">
        <f t="shared" si="162"/>
        <v>0.99493718050161961</v>
      </c>
      <c r="N301" s="33">
        <f t="shared" si="163"/>
        <v>0.99493718050161961</v>
      </c>
      <c r="O301" s="568" t="s">
        <v>998</v>
      </c>
      <c r="P301" s="7"/>
      <c r="Q301" s="24">
        <f t="shared" si="189"/>
        <v>0.99965856081070481</v>
      </c>
      <c r="R301" s="601">
        <f t="shared" si="164"/>
        <v>0.99735536192692908</v>
      </c>
      <c r="S301" s="33">
        <f t="shared" si="165"/>
        <v>0.99735536192692908</v>
      </c>
      <c r="T301" s="24">
        <f t="shared" si="190"/>
        <v>0.99962471709936207</v>
      </c>
      <c r="U301" s="601">
        <f t="shared" si="166"/>
        <v>0.99708866264023643</v>
      </c>
      <c r="V301" s="33">
        <f t="shared" si="167"/>
        <v>0.99708866264023643</v>
      </c>
      <c r="W301" s="24">
        <f t="shared" si="191"/>
        <v>0.99908997664300303</v>
      </c>
      <c r="X301" s="601">
        <f t="shared" si="168"/>
        <v>0.99666313698312092</v>
      </c>
      <c r="Y301" s="33">
        <f t="shared" si="169"/>
        <v>0.99666313698312092</v>
      </c>
      <c r="Z301" s="24">
        <f t="shared" si="192"/>
        <v>0.99943627458829987</v>
      </c>
      <c r="AA301" s="601">
        <f t="shared" si="170"/>
        <v>0.99792745007590133</v>
      </c>
      <c r="AB301" s="33">
        <f t="shared" si="171"/>
        <v>0.99792745007590133</v>
      </c>
      <c r="AC301" s="24">
        <f t="shared" si="193"/>
        <v>0.9997037482914809</v>
      </c>
      <c r="AD301" s="601">
        <f t="shared" si="172"/>
        <v>0.99484455498812707</v>
      </c>
      <c r="AE301" s="33">
        <f t="shared" si="173"/>
        <v>0.99484455498812707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0.99493718050161961</v>
      </c>
      <c r="AL301" s="141">
        <f t="shared" si="178"/>
        <v>0.99521421578602398</v>
      </c>
    </row>
    <row r="302" spans="1:44" x14ac:dyDescent="0.2">
      <c r="A302" s="568" t="s">
        <v>999</v>
      </c>
      <c r="B302" s="7"/>
      <c r="C302" s="24">
        <f t="shared" si="179"/>
        <v>0.99974466728572287</v>
      </c>
      <c r="D302" s="601">
        <f t="shared" si="156"/>
        <v>0.99336017317771619</v>
      </c>
      <c r="E302" s="33">
        <f t="shared" si="157"/>
        <v>0.99336017317771619</v>
      </c>
      <c r="F302" s="24">
        <f t="shared" si="195"/>
        <v>0.99956919011361833</v>
      </c>
      <c r="G302" s="601">
        <f t="shared" si="158"/>
        <v>0.9952950613899455</v>
      </c>
      <c r="H302" s="33">
        <f t="shared" si="159"/>
        <v>0.9952950613899455</v>
      </c>
      <c r="I302" s="24">
        <f t="shared" si="188"/>
        <v>0.99945325182675226</v>
      </c>
      <c r="J302" s="601">
        <f t="shared" si="160"/>
        <v>0.99575864500617672</v>
      </c>
      <c r="K302" s="33">
        <f t="shared" si="161"/>
        <v>0.99575864500617672</v>
      </c>
      <c r="L302" s="24">
        <f t="shared" si="194"/>
        <v>0.99911787226543913</v>
      </c>
      <c r="M302" s="601">
        <f t="shared" si="162"/>
        <v>0.99581561707595112</v>
      </c>
      <c r="N302" s="33">
        <f t="shared" si="163"/>
        <v>0.99581561707595112</v>
      </c>
      <c r="O302" s="568" t="s">
        <v>999</v>
      </c>
      <c r="P302" s="7"/>
      <c r="Q302" s="24">
        <f t="shared" si="189"/>
        <v>0.99979631606323827</v>
      </c>
      <c r="R302" s="601">
        <f t="shared" si="164"/>
        <v>0.99755854857925408</v>
      </c>
      <c r="S302" s="33">
        <f t="shared" si="165"/>
        <v>0.99755854857925408</v>
      </c>
      <c r="T302" s="24">
        <f t="shared" si="190"/>
        <v>0.99954768758771162</v>
      </c>
      <c r="U302" s="601">
        <f t="shared" si="166"/>
        <v>0.99753986230170799</v>
      </c>
      <c r="V302" s="33">
        <f t="shared" si="167"/>
        <v>0.99753986230170799</v>
      </c>
      <c r="W302" s="24">
        <f t="shared" si="191"/>
        <v>0.99926986552416308</v>
      </c>
      <c r="X302" s="601">
        <f t="shared" si="168"/>
        <v>0.99739136680592799</v>
      </c>
      <c r="Y302" s="33">
        <f t="shared" si="169"/>
        <v>0.99739136680592799</v>
      </c>
      <c r="Z302" s="24">
        <f t="shared" si="192"/>
        <v>0.99937638875201051</v>
      </c>
      <c r="AA302" s="601">
        <f t="shared" si="170"/>
        <v>0.99855015718560391</v>
      </c>
      <c r="AB302" s="33">
        <f t="shared" si="171"/>
        <v>0.99855015718560391</v>
      </c>
      <c r="AC302" s="24">
        <f t="shared" si="193"/>
        <v>0.99929823832776166</v>
      </c>
      <c r="AD302" s="601">
        <f t="shared" si="172"/>
        <v>0.99554318904125416</v>
      </c>
      <c r="AE302" s="33">
        <f t="shared" si="173"/>
        <v>0.99554318904125416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0.99581561707595112</v>
      </c>
      <c r="AL302" s="141">
        <f t="shared" si="178"/>
        <v>0.99575864500617672</v>
      </c>
    </row>
    <row r="303" spans="1:44" x14ac:dyDescent="0.2">
      <c r="A303" s="568" t="s">
        <v>1000</v>
      </c>
      <c r="B303" s="7"/>
      <c r="C303" s="24">
        <f t="shared" si="179"/>
        <v>0.99944754980570272</v>
      </c>
      <c r="D303" s="601">
        <f t="shared" si="156"/>
        <v>0.99390925854071088</v>
      </c>
      <c r="E303" s="33">
        <f t="shared" si="157"/>
        <v>0.99390925854071088</v>
      </c>
      <c r="F303" s="24">
        <f t="shared" si="195"/>
        <v>0.99961872245103356</v>
      </c>
      <c r="G303" s="601">
        <f t="shared" si="158"/>
        <v>0.99567468979523854</v>
      </c>
      <c r="H303" s="33">
        <f t="shared" si="159"/>
        <v>0.99567468979523854</v>
      </c>
      <c r="I303" s="24">
        <f t="shared" si="188"/>
        <v>0.99953273533739295</v>
      </c>
      <c r="J303" s="601">
        <f t="shared" si="160"/>
        <v>0.99622414534533255</v>
      </c>
      <c r="K303" s="33">
        <f t="shared" si="161"/>
        <v>0.99622414534533255</v>
      </c>
      <c r="L303" s="24">
        <f t="shared" si="194"/>
        <v>0.99955889661832387</v>
      </c>
      <c r="M303" s="601">
        <f t="shared" si="162"/>
        <v>0.99625506855570301</v>
      </c>
      <c r="N303" s="33">
        <f t="shared" si="163"/>
        <v>0.99625506855570301</v>
      </c>
      <c r="O303" s="568" t="s">
        <v>1000</v>
      </c>
      <c r="P303" s="7"/>
      <c r="Q303" s="24">
        <f t="shared" si="189"/>
        <v>0.99974551141275181</v>
      </c>
      <c r="R303" s="601">
        <f t="shared" si="164"/>
        <v>0.99781248046774695</v>
      </c>
      <c r="S303" s="33">
        <f t="shared" si="165"/>
        <v>0.99781248046774695</v>
      </c>
      <c r="T303" s="24">
        <f t="shared" si="190"/>
        <v>0.9996453420576924</v>
      </c>
      <c r="U303" s="601">
        <f t="shared" si="166"/>
        <v>0.99789377325397177</v>
      </c>
      <c r="V303" s="33">
        <f t="shared" si="167"/>
        <v>0.99789377325397177</v>
      </c>
      <c r="W303" s="24">
        <f t="shared" si="191"/>
        <v>0.99978989445000432</v>
      </c>
      <c r="X303" s="601">
        <f t="shared" si="168"/>
        <v>0.99760096830605016</v>
      </c>
      <c r="Y303" s="33">
        <f t="shared" si="169"/>
        <v>0.99760096830605016</v>
      </c>
      <c r="Z303" s="24">
        <f t="shared" si="192"/>
        <v>0.99978794102117052</v>
      </c>
      <c r="AA303" s="601">
        <f t="shared" si="170"/>
        <v>0.99876195362558351</v>
      </c>
      <c r="AB303" s="33">
        <f t="shared" si="171"/>
        <v>0.99876195362558351</v>
      </c>
      <c r="AC303" s="24">
        <f t="shared" si="193"/>
        <v>0.99910553171346284</v>
      </c>
      <c r="AD303" s="601">
        <f t="shared" si="172"/>
        <v>0.99643446807255764</v>
      </c>
      <c r="AE303" s="33">
        <f t="shared" si="173"/>
        <v>0.99643446807255764</v>
      </c>
      <c r="AK303" s="141">
        <f t="shared" si="177"/>
        <v>0.99625506855570301</v>
      </c>
      <c r="AL303" s="141">
        <f t="shared" si="178"/>
        <v>0.99622414534533255</v>
      </c>
    </row>
    <row r="304" spans="1:44" x14ac:dyDescent="0.2">
      <c r="A304" s="568" t="s">
        <v>1001</v>
      </c>
      <c r="B304" s="7"/>
      <c r="C304" s="24">
        <f t="shared" si="179"/>
        <v>0.99868476171374154</v>
      </c>
      <c r="D304" s="601">
        <f t="shared" si="156"/>
        <v>0.99521820763056812</v>
      </c>
      <c r="E304" s="33">
        <f t="shared" si="157"/>
        <v>0.99521820763056812</v>
      </c>
      <c r="F304" s="24">
        <f t="shared" si="195"/>
        <v>0.99916388621971208</v>
      </c>
      <c r="G304" s="601">
        <f t="shared" si="158"/>
        <v>0.99650788376902333</v>
      </c>
      <c r="H304" s="33">
        <f t="shared" si="159"/>
        <v>0.99650788376902333</v>
      </c>
      <c r="I304" s="24">
        <f t="shared" si="188"/>
        <v>0.99923464380701432</v>
      </c>
      <c r="J304" s="601">
        <f t="shared" si="160"/>
        <v>0.99698719566986593</v>
      </c>
      <c r="K304" s="33">
        <f t="shared" si="161"/>
        <v>0.99698719566986593</v>
      </c>
      <c r="L304" s="24">
        <f t="shared" si="194"/>
        <v>0.99926566046450471</v>
      </c>
      <c r="M304" s="601">
        <f t="shared" si="162"/>
        <v>0.99698719566986593</v>
      </c>
      <c r="N304" s="33">
        <f t="shared" si="163"/>
        <v>0.99698719566986593</v>
      </c>
      <c r="O304" s="568" t="s">
        <v>1001</v>
      </c>
      <c r="P304" s="7"/>
      <c r="Q304" s="24">
        <f t="shared" si="189"/>
        <v>0.99956700582357061</v>
      </c>
      <c r="R304" s="601">
        <f t="shared" si="164"/>
        <v>0.99824471461582698</v>
      </c>
      <c r="S304" s="33">
        <f t="shared" si="165"/>
        <v>0.99824471461582698</v>
      </c>
      <c r="T304" s="24">
        <f t="shared" si="190"/>
        <v>0.99943134040471349</v>
      </c>
      <c r="U304" s="601">
        <f t="shared" si="166"/>
        <v>0.99846155799945291</v>
      </c>
      <c r="V304" s="33">
        <f t="shared" si="167"/>
        <v>0.99846155799945291</v>
      </c>
      <c r="W304" s="24">
        <f t="shared" si="191"/>
        <v>0.99964286260683444</v>
      </c>
      <c r="X304" s="601">
        <f t="shared" si="168"/>
        <v>0.9979573762018773</v>
      </c>
      <c r="Y304" s="33">
        <f t="shared" si="169"/>
        <v>0.9979573762018773</v>
      </c>
      <c r="Z304" s="24">
        <f t="shared" si="192"/>
        <v>0.9995642458007552</v>
      </c>
      <c r="AA304" s="601">
        <f t="shared" si="170"/>
        <v>0.99919735807023691</v>
      </c>
      <c r="AB304" s="33">
        <f t="shared" si="171"/>
        <v>0.99919735807023691</v>
      </c>
      <c r="AC304" s="24">
        <f t="shared" si="193"/>
        <v>0.99866756142958801</v>
      </c>
      <c r="AD304" s="601">
        <f t="shared" si="172"/>
        <v>0.99776392721334239</v>
      </c>
      <c r="AE304" s="33">
        <f t="shared" si="173"/>
        <v>0.99776392721334239</v>
      </c>
    </row>
    <row r="305" spans="1:31" x14ac:dyDescent="0.2">
      <c r="A305" s="568" t="s">
        <v>1043</v>
      </c>
      <c r="B305" s="595"/>
      <c r="C305" s="24">
        <f t="shared" ref="C305:C316" si="196">IF(+X259=0,1,X259)</f>
        <v>0.99735836818743451</v>
      </c>
      <c r="D305" s="601">
        <f t="shared" si="156"/>
        <v>0.99785417095285833</v>
      </c>
      <c r="E305" s="33">
        <f t="shared" si="157"/>
        <v>0.99785417095285833</v>
      </c>
      <c r="F305" s="24">
        <f t="shared" si="195"/>
        <v>0.99838066610962706</v>
      </c>
      <c r="G305" s="601">
        <f t="shared" si="158"/>
        <v>0.99812418008062864</v>
      </c>
      <c r="H305" s="33">
        <f t="shared" si="159"/>
        <v>0.99812418008062864</v>
      </c>
      <c r="I305" s="24">
        <f t="shared" si="188"/>
        <v>0.99903233187675411</v>
      </c>
      <c r="J305" s="601">
        <f t="shared" si="160"/>
        <v>0.9979528828631139</v>
      </c>
      <c r="K305" s="33">
        <f t="shared" si="161"/>
        <v>0.9979528828631139</v>
      </c>
      <c r="L305" s="24">
        <f t="shared" si="194"/>
        <v>0.99903233187675411</v>
      </c>
      <c r="M305" s="601">
        <f t="shared" si="162"/>
        <v>0.9979528828631139</v>
      </c>
      <c r="N305" s="33">
        <f t="shared" si="163"/>
        <v>0.9979528828631139</v>
      </c>
      <c r="O305" s="568" t="s">
        <v>1043</v>
      </c>
      <c r="P305" s="595"/>
      <c r="Q305" s="24">
        <f t="shared" si="189"/>
        <v>0.99926430065660776</v>
      </c>
      <c r="R305" s="601">
        <f t="shared" si="164"/>
        <v>0.99897966329817767</v>
      </c>
      <c r="S305" s="33">
        <f t="shared" si="165"/>
        <v>0.99897966329817767</v>
      </c>
      <c r="T305" s="24">
        <f t="shared" si="190"/>
        <v>0.99951611884897174</v>
      </c>
      <c r="U305" s="601">
        <f t="shared" si="166"/>
        <v>0.998944928621328</v>
      </c>
      <c r="V305" s="33">
        <f t="shared" si="167"/>
        <v>0.998944928621328</v>
      </c>
      <c r="W305" s="24">
        <f t="shared" si="191"/>
        <v>0.99940296403181972</v>
      </c>
      <c r="X305" s="601">
        <f t="shared" si="168"/>
        <v>0.99855354858653755</v>
      </c>
      <c r="Y305" s="33">
        <f t="shared" si="169"/>
        <v>0.99855354858653755</v>
      </c>
      <c r="Z305" s="24">
        <f t="shared" si="192"/>
        <v>0.99982781091053496</v>
      </c>
      <c r="AA305" s="601">
        <f t="shared" si="170"/>
        <v>0.99936943858390581</v>
      </c>
      <c r="AB305" s="33">
        <f t="shared" si="171"/>
        <v>0.99936943858390581</v>
      </c>
      <c r="AC305" s="24">
        <f t="shared" si="193"/>
        <v>0.99927727553583556</v>
      </c>
      <c r="AD305" s="601">
        <f t="shared" si="172"/>
        <v>0.99848555715261145</v>
      </c>
      <c r="AE305" s="33">
        <f t="shared" si="173"/>
        <v>0.99848555715261145</v>
      </c>
    </row>
    <row r="306" spans="1:31" x14ac:dyDescent="0.2">
      <c r="A306" s="568" t="s">
        <v>1044</v>
      </c>
      <c r="B306" s="595"/>
      <c r="C306" s="24">
        <f t="shared" si="196"/>
        <v>0.99985104393739188</v>
      </c>
      <c r="D306" s="601">
        <f t="shared" si="156"/>
        <v>0.99800282952481612</v>
      </c>
      <c r="E306" s="33">
        <f t="shared" si="157"/>
        <v>0.99800282952481612</v>
      </c>
      <c r="F306" s="24">
        <f t="shared" si="195"/>
        <v>0.99985466864802242</v>
      </c>
      <c r="G306" s="601">
        <f t="shared" si="158"/>
        <v>0.99826925990180782</v>
      </c>
      <c r="H306" s="33">
        <f t="shared" si="159"/>
        <v>0.99826925990180782</v>
      </c>
      <c r="I306" s="24">
        <f t="shared" si="188"/>
        <v>0.99961939195423755</v>
      </c>
      <c r="J306" s="601">
        <f t="shared" si="160"/>
        <v>0.99833285638060132</v>
      </c>
      <c r="K306" s="33">
        <f t="shared" si="161"/>
        <v>0.99833285638060132</v>
      </c>
      <c r="L306" s="24">
        <f t="shared" si="194"/>
        <v>0.99961939195423755</v>
      </c>
      <c r="M306" s="601">
        <f t="shared" si="162"/>
        <v>0.99833285638060132</v>
      </c>
      <c r="N306" s="33">
        <f t="shared" si="163"/>
        <v>0.99833285638060132</v>
      </c>
      <c r="O306" s="568" t="s">
        <v>1044</v>
      </c>
      <c r="P306" s="595"/>
      <c r="Q306" s="24">
        <f t="shared" si="189"/>
        <v>0.9998937200189898</v>
      </c>
      <c r="R306" s="601">
        <f t="shared" si="164"/>
        <v>0.99908584612293116</v>
      </c>
      <c r="S306" s="33">
        <f t="shared" si="165"/>
        <v>0.99908584612293116</v>
      </c>
      <c r="T306" s="24">
        <f t="shared" si="190"/>
        <v>0.99972716848740317</v>
      </c>
      <c r="U306" s="601">
        <f t="shared" si="166"/>
        <v>0.99921754665599549</v>
      </c>
      <c r="V306" s="33">
        <f t="shared" si="167"/>
        <v>0.99921754665599549</v>
      </c>
      <c r="W306" s="24">
        <f t="shared" si="191"/>
        <v>0.99985829335865306</v>
      </c>
      <c r="X306" s="601">
        <f t="shared" si="168"/>
        <v>0.99869507031068105</v>
      </c>
      <c r="Y306" s="33">
        <f t="shared" si="169"/>
        <v>0.99869507031068105</v>
      </c>
      <c r="Z306" s="24">
        <f t="shared" si="192"/>
        <v>0.99952655025042236</v>
      </c>
      <c r="AA306" s="601">
        <f t="shared" si="170"/>
        <v>0.99984281391377028</v>
      </c>
      <c r="AB306" s="33">
        <f t="shared" si="171"/>
        <v>0.99984281391377028</v>
      </c>
      <c r="AC306" s="24">
        <f t="shared" si="193"/>
        <v>0.99905282442860632</v>
      </c>
      <c r="AD306" s="601">
        <f t="shared" si="172"/>
        <v>0.99943219491289725</v>
      </c>
      <c r="AE306" s="33">
        <f t="shared" si="173"/>
        <v>0.99943219491289725</v>
      </c>
    </row>
    <row r="307" spans="1:31" x14ac:dyDescent="0.2">
      <c r="A307" s="568" t="s">
        <v>1045</v>
      </c>
      <c r="B307" s="595"/>
      <c r="C307" s="24">
        <f t="shared" si="196"/>
        <v>1</v>
      </c>
      <c r="D307" s="601">
        <f t="shared" si="156"/>
        <v>0.99800282952481612</v>
      </c>
      <c r="E307" s="33">
        <f t="shared" si="157"/>
        <v>0.99800282952481612</v>
      </c>
      <c r="F307" s="24">
        <f t="shared" si="195"/>
        <v>0.99999475279097572</v>
      </c>
      <c r="G307" s="601">
        <f t="shared" si="158"/>
        <v>0.99827449805676272</v>
      </c>
      <c r="H307" s="33">
        <f t="shared" si="159"/>
        <v>0.99827449805676272</v>
      </c>
      <c r="I307" s="24">
        <f t="shared" si="188"/>
        <v>0.99995497290710544</v>
      </c>
      <c r="J307" s="601">
        <f t="shared" si="160"/>
        <v>0.99837781043101548</v>
      </c>
      <c r="K307" s="33">
        <f t="shared" si="161"/>
        <v>0.99837781043101548</v>
      </c>
      <c r="L307" s="24">
        <f t="shared" si="194"/>
        <v>0.99995497290710544</v>
      </c>
      <c r="M307" s="601">
        <f t="shared" si="162"/>
        <v>0.99837781043101548</v>
      </c>
      <c r="N307" s="33">
        <f t="shared" si="163"/>
        <v>0.99837781043101548</v>
      </c>
      <c r="O307" s="568" t="s">
        <v>1045</v>
      </c>
      <c r="P307" s="595"/>
      <c r="Q307" s="24">
        <f t="shared" si="189"/>
        <v>0.99991113499134743</v>
      </c>
      <c r="R307" s="601">
        <f t="shared" si="164"/>
        <v>0.99917463778576343</v>
      </c>
      <c r="S307" s="33">
        <f t="shared" si="165"/>
        <v>0.99917463778576343</v>
      </c>
      <c r="T307" s="24">
        <f t="shared" si="190"/>
        <v>0.99992351642308286</v>
      </c>
      <c r="U307" s="601">
        <f t="shared" si="166"/>
        <v>0.99929397623368965</v>
      </c>
      <c r="V307" s="33">
        <f t="shared" si="167"/>
        <v>0.99929397623368965</v>
      </c>
      <c r="W307" s="24">
        <f t="shared" si="191"/>
        <v>0.99994116490819029</v>
      </c>
      <c r="X307" s="601">
        <f t="shared" si="168"/>
        <v>0.99875383208408697</v>
      </c>
      <c r="Y307" s="33">
        <f t="shared" si="169"/>
        <v>0.99875383208408697</v>
      </c>
      <c r="Z307" s="24">
        <f t="shared" si="192"/>
        <v>0.99998370467802111</v>
      </c>
      <c r="AA307" s="601">
        <f t="shared" si="170"/>
        <v>0.99985910693985136</v>
      </c>
      <c r="AB307" s="33">
        <f t="shared" si="171"/>
        <v>0.99985910693985136</v>
      </c>
      <c r="AC307" s="24">
        <f t="shared" si="193"/>
        <v>0.99961241365390174</v>
      </c>
      <c r="AD307" s="601">
        <f t="shared" si="172"/>
        <v>0.99981971138158865</v>
      </c>
      <c r="AE307" s="33">
        <f t="shared" si="173"/>
        <v>0.99981971138158865</v>
      </c>
    </row>
    <row r="308" spans="1:31" x14ac:dyDescent="0.2">
      <c r="A308" s="568" t="s">
        <v>1046</v>
      </c>
      <c r="B308" s="595"/>
      <c r="C308" s="24">
        <f t="shared" si="196"/>
        <v>1</v>
      </c>
      <c r="D308" s="601">
        <f t="shared" si="156"/>
        <v>0.99800282952481612</v>
      </c>
      <c r="E308" s="33">
        <f t="shared" si="157"/>
        <v>0.99800282952481612</v>
      </c>
      <c r="F308" s="24">
        <f t="shared" si="195"/>
        <v>1</v>
      </c>
      <c r="G308" s="601">
        <f t="shared" si="158"/>
        <v>0.99827449805676272</v>
      </c>
      <c r="H308" s="33">
        <f t="shared" si="159"/>
        <v>0.99827449805676272</v>
      </c>
      <c r="I308" s="24">
        <f t="shared" si="188"/>
        <v>1</v>
      </c>
      <c r="J308" s="601">
        <f t="shared" si="160"/>
        <v>0.99837781043101548</v>
      </c>
      <c r="K308" s="33">
        <f t="shared" si="161"/>
        <v>0.99837781043101548</v>
      </c>
      <c r="L308" s="24">
        <f t="shared" si="194"/>
        <v>1</v>
      </c>
      <c r="M308" s="601">
        <f t="shared" si="162"/>
        <v>0.99837781043101548</v>
      </c>
      <c r="N308" s="33">
        <f t="shared" si="163"/>
        <v>0.99837781043101548</v>
      </c>
      <c r="O308" s="568" t="s">
        <v>1046</v>
      </c>
      <c r="P308" s="595"/>
      <c r="Q308" s="24">
        <f t="shared" si="189"/>
        <v>0.99991139180091904</v>
      </c>
      <c r="R308" s="601">
        <f t="shared" si="164"/>
        <v>0.99926318069661291</v>
      </c>
      <c r="S308" s="33">
        <f t="shared" si="165"/>
        <v>0.99926318069661291</v>
      </c>
      <c r="T308" s="24">
        <f t="shared" si="190"/>
        <v>0.99993462334630479</v>
      </c>
      <c r="U308" s="601">
        <f t="shared" si="166"/>
        <v>0.99935931100128206</v>
      </c>
      <c r="V308" s="33">
        <f t="shared" si="167"/>
        <v>0.99935931100128206</v>
      </c>
      <c r="W308" s="24">
        <f t="shared" si="191"/>
        <v>0.99982080394120576</v>
      </c>
      <c r="X308" s="601">
        <f t="shared" si="168"/>
        <v>0.99893283691146162</v>
      </c>
      <c r="Y308" s="33">
        <f t="shared" si="169"/>
        <v>0.99893283691146162</v>
      </c>
      <c r="Z308" s="24">
        <f t="shared" si="192"/>
        <v>0.99997191502411409</v>
      </c>
      <c r="AA308" s="601">
        <f t="shared" si="170"/>
        <v>0.99988718874743598</v>
      </c>
      <c r="AB308" s="33">
        <f t="shared" si="171"/>
        <v>0.99988718874743598</v>
      </c>
      <c r="AC308" s="24">
        <f t="shared" si="193"/>
        <v>0.99992806525381595</v>
      </c>
      <c r="AD308" s="601">
        <f t="shared" si="172"/>
        <v>0.9998916383328037</v>
      </c>
      <c r="AE308" s="33">
        <f t="shared" si="173"/>
        <v>0.9998916383328037</v>
      </c>
    </row>
    <row r="309" spans="1:31" x14ac:dyDescent="0.2">
      <c r="A309" s="568" t="s">
        <v>1047</v>
      </c>
      <c r="B309" s="595"/>
      <c r="C309" s="24">
        <f t="shared" si="196"/>
        <v>0.9997791440593734</v>
      </c>
      <c r="D309" s="601">
        <f t="shared" si="156"/>
        <v>0.99822329306916224</v>
      </c>
      <c r="E309" s="33">
        <f t="shared" si="157"/>
        <v>0.99822329306916224</v>
      </c>
      <c r="F309" s="24">
        <f t="shared" si="195"/>
        <v>0.99968782134690559</v>
      </c>
      <c r="G309" s="601">
        <f t="shared" si="158"/>
        <v>0.99858623536271685</v>
      </c>
      <c r="H309" s="33">
        <f t="shared" si="159"/>
        <v>0.99858623536271685</v>
      </c>
      <c r="I309" s="24">
        <f t="shared" si="188"/>
        <v>0.999750200752204</v>
      </c>
      <c r="J309" s="601">
        <f t="shared" si="160"/>
        <v>0.99862726677108349</v>
      </c>
      <c r="K309" s="33">
        <f t="shared" si="161"/>
        <v>0.99862726677108349</v>
      </c>
      <c r="L309" s="24">
        <f t="shared" si="194"/>
        <v>0.999750200752204</v>
      </c>
      <c r="M309" s="601">
        <f t="shared" si="162"/>
        <v>0.99862726677108349</v>
      </c>
      <c r="N309" s="33">
        <f t="shared" si="163"/>
        <v>0.99862726677108349</v>
      </c>
      <c r="O309" s="568" t="s">
        <v>1047</v>
      </c>
      <c r="P309" s="595"/>
      <c r="Q309" s="24">
        <f t="shared" si="189"/>
        <v>0.9997875614771935</v>
      </c>
      <c r="R309" s="601">
        <f t="shared" si="164"/>
        <v>0.99947550779707062</v>
      </c>
      <c r="S309" s="33">
        <f t="shared" si="165"/>
        <v>0.99947550779707062</v>
      </c>
      <c r="T309" s="24">
        <f t="shared" si="190"/>
        <v>0.99984187673394687</v>
      </c>
      <c r="U309" s="601">
        <f t="shared" si="166"/>
        <v>0.99951735795039798</v>
      </c>
      <c r="V309" s="33">
        <f t="shared" si="167"/>
        <v>0.99951735795039798</v>
      </c>
      <c r="W309" s="24">
        <f t="shared" si="191"/>
        <v>0.99956581215883189</v>
      </c>
      <c r="X309" s="601">
        <f t="shared" si="168"/>
        <v>0.99936674980309381</v>
      </c>
      <c r="Y309" s="33">
        <f t="shared" si="169"/>
        <v>0.99936674980309381</v>
      </c>
      <c r="Z309" s="24">
        <f t="shared" si="192"/>
        <v>0.99997841609167282</v>
      </c>
      <c r="AA309" s="601">
        <f t="shared" si="170"/>
        <v>0.99990877068667805</v>
      </c>
      <c r="AB309" s="33">
        <f t="shared" si="171"/>
        <v>0.99990877068667805</v>
      </c>
      <c r="AC309" s="24">
        <f t="shared" si="193"/>
        <v>0.99998286608301012</v>
      </c>
      <c r="AD309" s="601">
        <f t="shared" si="172"/>
        <v>0.99990877068667805</v>
      </c>
      <c r="AE309" s="33">
        <f t="shared" si="173"/>
        <v>0.99990877068667805</v>
      </c>
    </row>
    <row r="310" spans="1:31" x14ac:dyDescent="0.2">
      <c r="A310" s="568" t="s">
        <v>1048</v>
      </c>
      <c r="B310" s="595"/>
      <c r="C310" s="24">
        <f t="shared" si="196"/>
        <v>0.99966427747986486</v>
      </c>
      <c r="D310" s="601">
        <f t="shared" si="156"/>
        <v>0.99855853165591224</v>
      </c>
      <c r="E310" s="33">
        <f t="shared" si="157"/>
        <v>0.99855853165591224</v>
      </c>
      <c r="F310" s="24">
        <f t="shared" si="195"/>
        <v>0.99966107012021688</v>
      </c>
      <c r="G310" s="601">
        <f t="shared" si="158"/>
        <v>0.99892480082537294</v>
      </c>
      <c r="H310" s="33">
        <f t="shared" si="159"/>
        <v>0.99892480082537294</v>
      </c>
      <c r="I310" s="24">
        <f t="shared" si="188"/>
        <v>0.99970214569300553</v>
      </c>
      <c r="J310" s="601">
        <f t="shared" si="160"/>
        <v>0.99892480082537294</v>
      </c>
      <c r="K310" s="33">
        <f t="shared" si="161"/>
        <v>0.99892480082537294</v>
      </c>
      <c r="L310" s="24">
        <f t="shared" si="194"/>
        <v>0.99970214569300553</v>
      </c>
      <c r="M310" s="601">
        <f t="shared" si="162"/>
        <v>0.99892480082537294</v>
      </c>
      <c r="N310" s="33">
        <f t="shared" si="163"/>
        <v>0.99892480082537294</v>
      </c>
      <c r="O310" s="568" t="s">
        <v>1048</v>
      </c>
      <c r="P310" s="595"/>
      <c r="Q310" s="24">
        <f t="shared" si="189"/>
        <v>0.9997392931368505</v>
      </c>
      <c r="R310" s="601">
        <f t="shared" si="164"/>
        <v>0.99973614587163795</v>
      </c>
      <c r="S310" s="33">
        <f t="shared" si="165"/>
        <v>0.99973614587163795</v>
      </c>
      <c r="T310" s="24">
        <f t="shared" si="190"/>
        <v>0.99978115433542791</v>
      </c>
      <c r="U310" s="601">
        <f t="shared" si="166"/>
        <v>0.99973614587163795</v>
      </c>
      <c r="V310" s="33">
        <f t="shared" si="167"/>
        <v>0.99973614587163795</v>
      </c>
      <c r="W310" s="24">
        <f t="shared" si="191"/>
        <v>0.99965786276056878</v>
      </c>
      <c r="X310" s="601">
        <f t="shared" si="168"/>
        <v>0.99970878740785263</v>
      </c>
      <c r="Y310" s="33">
        <f t="shared" si="169"/>
        <v>0.99970878740785263</v>
      </c>
      <c r="Z310" s="24">
        <f t="shared" si="192"/>
        <v>0.99994859912973877</v>
      </c>
      <c r="AA310" s="601">
        <f t="shared" si="170"/>
        <v>0.99996016950961741</v>
      </c>
      <c r="AB310" s="33">
        <f t="shared" si="171"/>
        <v>0.99996016950961741</v>
      </c>
      <c r="AC310" s="24">
        <f t="shared" si="193"/>
        <v>0.99994859912973877</v>
      </c>
      <c r="AD310" s="601">
        <f t="shared" si="172"/>
        <v>0.99996016950961741</v>
      </c>
      <c r="AE310" s="33">
        <f t="shared" si="173"/>
        <v>0.99996016950961741</v>
      </c>
    </row>
    <row r="311" spans="1:31" x14ac:dyDescent="0.2">
      <c r="A311" s="568" t="s">
        <v>1049</v>
      </c>
      <c r="B311" s="595"/>
      <c r="C311" s="24">
        <f t="shared" si="196"/>
        <v>0.99967920131974963</v>
      </c>
      <c r="D311" s="601">
        <f t="shared" si="156"/>
        <v>0.99887897071144627</v>
      </c>
      <c r="E311" s="33">
        <f t="shared" si="157"/>
        <v>0.99887897071144627</v>
      </c>
      <c r="F311" s="24">
        <f t="shared" si="195"/>
        <v>0.99974127537845336</v>
      </c>
      <c r="G311" s="601">
        <f t="shared" si="158"/>
        <v>0.99918331415018213</v>
      </c>
      <c r="H311" s="33">
        <f t="shared" si="159"/>
        <v>0.99918331415018213</v>
      </c>
      <c r="I311" s="24">
        <f t="shared" si="188"/>
        <v>0.99974127537845336</v>
      </c>
      <c r="J311" s="601">
        <f t="shared" si="160"/>
        <v>0.99918331415018213</v>
      </c>
      <c r="K311" s="33">
        <f t="shared" si="161"/>
        <v>0.99918331415018213</v>
      </c>
      <c r="L311" s="24">
        <f t="shared" si="194"/>
        <v>0.99974127537845336</v>
      </c>
      <c r="M311" s="601">
        <f t="shared" si="162"/>
        <v>0.99918331415018213</v>
      </c>
      <c r="N311" s="33">
        <f t="shared" si="163"/>
        <v>0.99918331415018213</v>
      </c>
      <c r="O311" s="568" t="s">
        <v>1049</v>
      </c>
      <c r="P311" s="595"/>
      <c r="Q311" s="24">
        <f t="shared" si="189"/>
        <v>0.9998025628086683</v>
      </c>
      <c r="R311" s="601">
        <f t="shared" si="164"/>
        <v>0.99993356994720661</v>
      </c>
      <c r="S311" s="33">
        <f t="shared" si="165"/>
        <v>0.99993356994720661</v>
      </c>
      <c r="T311" s="24">
        <f t="shared" si="190"/>
        <v>0.9998025628086683</v>
      </c>
      <c r="U311" s="601">
        <f t="shared" si="166"/>
        <v>0.99993356994720661</v>
      </c>
      <c r="V311" s="33">
        <f t="shared" si="167"/>
        <v>0.99993356994720661</v>
      </c>
      <c r="W311" s="24">
        <f t="shared" si="191"/>
        <v>0.99974860788516395</v>
      </c>
      <c r="X311" s="601">
        <f t="shared" si="168"/>
        <v>0.99996016950961741</v>
      </c>
      <c r="Y311" s="33">
        <f t="shared" si="169"/>
        <v>0.99996016950961741</v>
      </c>
      <c r="Z311" s="24">
        <f t="shared" si="192"/>
        <v>1</v>
      </c>
      <c r="AA311" s="601">
        <f t="shared" si="170"/>
        <v>0.99996016950961741</v>
      </c>
      <c r="AB311" s="33">
        <f t="shared" si="171"/>
        <v>0.99996016950961741</v>
      </c>
      <c r="AC311" s="24">
        <f t="shared" si="193"/>
        <v>1</v>
      </c>
      <c r="AD311" s="601">
        <f t="shared" si="172"/>
        <v>0.99996016950961741</v>
      </c>
      <c r="AE311" s="33">
        <f t="shared" si="173"/>
        <v>0.99996016950961741</v>
      </c>
    </row>
    <row r="312" spans="1:31" x14ac:dyDescent="0.2">
      <c r="A312" s="568" t="s">
        <v>1050</v>
      </c>
      <c r="B312" s="595"/>
      <c r="C312" s="24">
        <f t="shared" si="196"/>
        <v>0.99952113842628121</v>
      </c>
      <c r="D312" s="601">
        <f t="shared" si="156"/>
        <v>0.99935752462839755</v>
      </c>
      <c r="E312" s="33">
        <f t="shared" ref="E312:E315" si="197">MIN(SUMPRODUCT(D307:D317,$G$329:$G$339),$E$275)</f>
        <v>0.99935752462839755</v>
      </c>
      <c r="F312" s="24">
        <f t="shared" si="195"/>
        <v>0.99968444097837184</v>
      </c>
      <c r="G312" s="601">
        <f t="shared" si="158"/>
        <v>0.99949871498680198</v>
      </c>
      <c r="H312" s="33">
        <f t="shared" ref="H312:H315" si="198">MIN(SUMPRODUCT(G307:G317,$G$329:$G$339),$E$275)</f>
        <v>0.99949871498680198</v>
      </c>
      <c r="I312" s="24">
        <f t="shared" si="188"/>
        <v>0.99968444097837184</v>
      </c>
      <c r="J312" s="601">
        <f t="shared" si="160"/>
        <v>0.99949871498680198</v>
      </c>
      <c r="K312" s="33">
        <f t="shared" ref="K312:K315" si="199">MIN(SUMPRODUCT(J307:J317,$G$329:$G$339),$E$275)</f>
        <v>0.99949871498680198</v>
      </c>
      <c r="L312" s="24">
        <f t="shared" si="194"/>
        <v>0.99968444097837184</v>
      </c>
      <c r="M312" s="601">
        <f t="shared" si="162"/>
        <v>0.99949871498680198</v>
      </c>
      <c r="N312" s="33">
        <f t="shared" ref="N312:N315" si="200">MIN(SUMPRODUCT(M307:M317,$G$329:$G$339),$E$275)</f>
        <v>0.99949871498680198</v>
      </c>
      <c r="O312" s="568" t="s">
        <v>1050</v>
      </c>
      <c r="P312" s="595"/>
      <c r="Q312" s="24">
        <f t="shared" si="189"/>
        <v>0.9999832390219906</v>
      </c>
      <c r="R312" s="601">
        <f t="shared" si="164"/>
        <v>0.99995033009269974</v>
      </c>
      <c r="S312" s="33">
        <f t="shared" ref="S312:S315" si="201">MIN(SUMPRODUCT(R307:R317,$G$329:$G$339),$E$275)</f>
        <v>0.99995033009269974</v>
      </c>
      <c r="T312" s="24">
        <f t="shared" si="190"/>
        <v>0.9999832390219906</v>
      </c>
      <c r="U312" s="601">
        <f t="shared" si="166"/>
        <v>0.99995033009269974</v>
      </c>
      <c r="V312" s="33">
        <f t="shared" ref="V312:V315" si="202">MIN(SUMPRODUCT(U307:U317,$G$329:$G$339),$E$275)</f>
        <v>0.99995033009269974</v>
      </c>
      <c r="W312" s="24">
        <f t="shared" si="191"/>
        <v>1</v>
      </c>
      <c r="X312" s="601">
        <f t="shared" si="168"/>
        <v>0.99996016950961741</v>
      </c>
      <c r="Y312" s="33">
        <f t="shared" ref="Y312:Y315" si="203">MIN(SUMPRODUCT(X307:X317,$G$329:$G$339),$E$275)</f>
        <v>0.99996016950961741</v>
      </c>
      <c r="Z312" s="24">
        <f t="shared" si="192"/>
        <v>1</v>
      </c>
      <c r="AA312" s="601">
        <f t="shared" si="170"/>
        <v>0.99996016950961741</v>
      </c>
      <c r="AB312" s="33">
        <f t="shared" ref="AB312:AB315" si="204">MIN(SUMPRODUCT(AA307:AA317,$G$329:$G$339),$E$275)</f>
        <v>0.99996016950961741</v>
      </c>
      <c r="AC312" s="24">
        <f t="shared" si="193"/>
        <v>1</v>
      </c>
      <c r="AD312" s="601">
        <f t="shared" si="172"/>
        <v>0.99996016950961741</v>
      </c>
      <c r="AE312" s="33">
        <f t="shared" ref="AE312:AE315" si="205">MIN(SUMPRODUCT(AD307:AD317,$G$329:$G$339),$E$275)</f>
        <v>0.99996016950961741</v>
      </c>
    </row>
    <row r="313" spans="1:31" x14ac:dyDescent="0.2">
      <c r="A313" s="568" t="s">
        <v>1051</v>
      </c>
      <c r="B313" s="595"/>
      <c r="C313" s="24">
        <f t="shared" si="196"/>
        <v>0.9994351946731358</v>
      </c>
      <c r="D313" s="601">
        <f t="shared" si="156"/>
        <v>0.99992228606201561</v>
      </c>
      <c r="E313" s="33">
        <f t="shared" si="197"/>
        <v>0.99992228606201561</v>
      </c>
      <c r="F313" s="24">
        <f t="shared" si="195"/>
        <v>0.99957639600485182</v>
      </c>
      <c r="G313" s="601">
        <f t="shared" si="158"/>
        <v>0.99992228606201561</v>
      </c>
      <c r="H313" s="33">
        <f t="shared" si="198"/>
        <v>0.99992228606201561</v>
      </c>
      <c r="I313" s="24">
        <f t="shared" si="188"/>
        <v>0.99957639600485182</v>
      </c>
      <c r="J313" s="601">
        <f t="shared" si="160"/>
        <v>0.99992228606201561</v>
      </c>
      <c r="K313" s="33">
        <f t="shared" si="199"/>
        <v>0.99992228606201561</v>
      </c>
      <c r="L313" s="24">
        <f t="shared" si="194"/>
        <v>0.99957639600485182</v>
      </c>
      <c r="M313" s="601">
        <f t="shared" si="162"/>
        <v>0.99992228606201561</v>
      </c>
      <c r="N313" s="33">
        <f t="shared" si="200"/>
        <v>0.99992228606201561</v>
      </c>
      <c r="O313" s="568" t="s">
        <v>1051</v>
      </c>
      <c r="P313" s="595"/>
      <c r="Q313" s="24">
        <f t="shared" si="189"/>
        <v>0.9999702447948855</v>
      </c>
      <c r="R313" s="601">
        <f t="shared" si="164"/>
        <v>0.99998008470523059</v>
      </c>
      <c r="S313" s="33">
        <f t="shared" si="201"/>
        <v>0.99998008470523059</v>
      </c>
      <c r="T313" s="24">
        <f t="shared" si="190"/>
        <v>0.9999702447948855</v>
      </c>
      <c r="U313" s="601">
        <f t="shared" si="166"/>
        <v>0.99998008470523059</v>
      </c>
      <c r="V313" s="33">
        <f t="shared" si="202"/>
        <v>0.99998008470523059</v>
      </c>
      <c r="W313" s="24">
        <f t="shared" si="191"/>
        <v>1</v>
      </c>
      <c r="X313" s="601">
        <f t="shared" si="168"/>
        <v>0.99996016950961741</v>
      </c>
      <c r="Y313" s="33">
        <f t="shared" si="203"/>
        <v>0.99996016950961741</v>
      </c>
      <c r="Z313" s="24">
        <f t="shared" si="192"/>
        <v>1</v>
      </c>
      <c r="AA313" s="601">
        <f t="shared" si="170"/>
        <v>0.99996016950961741</v>
      </c>
      <c r="AB313" s="33">
        <f t="shared" si="204"/>
        <v>0.99996016950961741</v>
      </c>
      <c r="AC313" s="24">
        <f t="shared" si="193"/>
        <v>1</v>
      </c>
      <c r="AD313" s="601">
        <f t="shared" si="172"/>
        <v>0.99996016950961741</v>
      </c>
      <c r="AE313" s="33">
        <f t="shared" si="205"/>
        <v>0.99996016950961741</v>
      </c>
    </row>
    <row r="314" spans="1:31" x14ac:dyDescent="0.2">
      <c r="A314" s="568" t="s">
        <v>1052</v>
      </c>
      <c r="B314" s="595"/>
      <c r="C314" s="24">
        <f t="shared" si="196"/>
        <v>0.99993722163258647</v>
      </c>
      <c r="D314" s="601">
        <f t="shared" si="156"/>
        <v>0.99998506349173955</v>
      </c>
      <c r="E314" s="33">
        <f t="shared" si="197"/>
        <v>0.99998506349173955</v>
      </c>
      <c r="F314" s="24">
        <f t="shared" si="195"/>
        <v>0.99993722163258647</v>
      </c>
      <c r="G314" s="601">
        <f t="shared" si="158"/>
        <v>0.99998506349173955</v>
      </c>
      <c r="H314" s="33">
        <f t="shared" si="198"/>
        <v>0.99998506349173955</v>
      </c>
      <c r="I314" s="24">
        <f t="shared" si="188"/>
        <v>0.99993722163258647</v>
      </c>
      <c r="J314" s="601">
        <f t="shared" si="160"/>
        <v>0.99998506349173955</v>
      </c>
      <c r="K314" s="33">
        <f t="shared" si="199"/>
        <v>0.99998506349173955</v>
      </c>
      <c r="L314" s="24">
        <f t="shared" si="194"/>
        <v>0.99993722163258647</v>
      </c>
      <c r="M314" s="601">
        <f t="shared" si="162"/>
        <v>0.99998506349173955</v>
      </c>
      <c r="N314" s="33">
        <f t="shared" si="200"/>
        <v>0.99998506349173955</v>
      </c>
      <c r="O314" s="568" t="s">
        <v>1052</v>
      </c>
      <c r="P314" s="595"/>
      <c r="Q314" s="24">
        <f t="shared" si="189"/>
        <v>0.9999950211391242</v>
      </c>
      <c r="R314" s="601">
        <f t="shared" si="164"/>
        <v>0.99998506349173955</v>
      </c>
      <c r="S314" s="33">
        <f t="shared" si="201"/>
        <v>0.99998506349173955</v>
      </c>
      <c r="T314" s="24">
        <f t="shared" si="190"/>
        <v>0.9999950211391242</v>
      </c>
      <c r="U314" s="601">
        <f t="shared" si="166"/>
        <v>0.99998506349173955</v>
      </c>
      <c r="V314" s="33">
        <f t="shared" si="202"/>
        <v>0.99998506349173955</v>
      </c>
      <c r="W314" s="24">
        <f t="shared" si="191"/>
        <v>0.9999900422286695</v>
      </c>
      <c r="X314" s="601">
        <f t="shared" si="168"/>
        <v>0.9999701269834792</v>
      </c>
      <c r="Y314" s="33">
        <f t="shared" si="203"/>
        <v>0.9999701269834792</v>
      </c>
      <c r="Z314" s="24">
        <f t="shared" si="192"/>
        <v>0.9999900422286695</v>
      </c>
      <c r="AA314" s="601">
        <f t="shared" si="170"/>
        <v>0.9999701269834792</v>
      </c>
      <c r="AB314" s="33">
        <f t="shared" si="204"/>
        <v>0.9999701269834792</v>
      </c>
      <c r="AC314" s="24">
        <f t="shared" si="193"/>
        <v>0.9999900422286695</v>
      </c>
      <c r="AD314" s="601">
        <f t="shared" si="172"/>
        <v>0.9999701269834792</v>
      </c>
      <c r="AE314" s="33">
        <f t="shared" si="205"/>
        <v>0.9999701269834792</v>
      </c>
    </row>
    <row r="315" spans="1:31" x14ac:dyDescent="0.2">
      <c r="A315" s="568" t="s">
        <v>1053</v>
      </c>
      <c r="B315" s="595"/>
      <c r="C315" s="24">
        <f t="shared" si="196"/>
        <v>0.99998506349173955</v>
      </c>
      <c r="D315" s="601">
        <f>C316*D316</f>
        <v>1</v>
      </c>
      <c r="E315" s="33">
        <f t="shared" si="197"/>
        <v>1</v>
      </c>
      <c r="F315" s="24">
        <f t="shared" si="195"/>
        <v>0.99998506349173955</v>
      </c>
      <c r="G315" s="601">
        <f>F316*G316</f>
        <v>1</v>
      </c>
      <c r="H315" s="33">
        <f t="shared" si="198"/>
        <v>1</v>
      </c>
      <c r="I315" s="24">
        <f t="shared" si="188"/>
        <v>0.99998506349173955</v>
      </c>
      <c r="J315" s="601">
        <f>I316*J316</f>
        <v>1</v>
      </c>
      <c r="K315" s="33">
        <f t="shared" si="199"/>
        <v>1</v>
      </c>
      <c r="L315" s="24">
        <f t="shared" si="194"/>
        <v>0.99998506349173955</v>
      </c>
      <c r="M315" s="601">
        <f>L316*M316</f>
        <v>1</v>
      </c>
      <c r="N315" s="33">
        <f t="shared" si="200"/>
        <v>1</v>
      </c>
      <c r="O315" s="568" t="s">
        <v>1053</v>
      </c>
      <c r="P315" s="595"/>
      <c r="Q315" s="24">
        <f t="shared" si="189"/>
        <v>0.99998506349173955</v>
      </c>
      <c r="R315" s="601">
        <f>Q316*R316</f>
        <v>1</v>
      </c>
      <c r="S315" s="33">
        <f t="shared" si="201"/>
        <v>1</v>
      </c>
      <c r="T315" s="24">
        <f t="shared" si="190"/>
        <v>0.99998506349173955</v>
      </c>
      <c r="U315" s="601">
        <f>T316*U316</f>
        <v>1</v>
      </c>
      <c r="V315" s="33">
        <f t="shared" si="202"/>
        <v>1</v>
      </c>
      <c r="W315" s="24">
        <f t="shared" si="191"/>
        <v>0.9999701269834792</v>
      </c>
      <c r="X315" s="601">
        <f>W316*X316</f>
        <v>1</v>
      </c>
      <c r="Y315" s="33">
        <f t="shared" si="203"/>
        <v>1</v>
      </c>
      <c r="Z315" s="24">
        <f t="shared" si="192"/>
        <v>0.9999701269834792</v>
      </c>
      <c r="AA315" s="601">
        <f>Z316*AA316</f>
        <v>1</v>
      </c>
      <c r="AB315" s="33">
        <f t="shared" si="204"/>
        <v>1</v>
      </c>
      <c r="AC315" s="24">
        <f t="shared" si="193"/>
        <v>0.9999701269834792</v>
      </c>
      <c r="AD315" s="601">
        <f>AC316*AD316</f>
        <v>1</v>
      </c>
      <c r="AE315" s="33">
        <f t="shared" si="205"/>
        <v>1</v>
      </c>
    </row>
    <row r="316" spans="1:31" ht="12" thickBot="1" x14ac:dyDescent="0.25">
      <c r="A316" s="568" t="s">
        <v>1054</v>
      </c>
      <c r="B316" s="595"/>
      <c r="C316" s="24">
        <f t="shared" si="196"/>
        <v>1</v>
      </c>
      <c r="D316" s="614">
        <f>+$E$275</f>
        <v>1</v>
      </c>
      <c r="E316" s="33">
        <f>+D316</f>
        <v>1</v>
      </c>
      <c r="F316" s="24">
        <f t="shared" si="195"/>
        <v>1</v>
      </c>
      <c r="G316" s="614">
        <f>+$E$275</f>
        <v>1</v>
      </c>
      <c r="H316" s="33">
        <f>+G316</f>
        <v>1</v>
      </c>
      <c r="I316" s="24">
        <f t="shared" si="188"/>
        <v>1</v>
      </c>
      <c r="J316" s="614">
        <f>+$E$275</f>
        <v>1</v>
      </c>
      <c r="K316" s="33">
        <f>+J316</f>
        <v>1</v>
      </c>
      <c r="L316" s="24">
        <f t="shared" si="194"/>
        <v>1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1</v>
      </c>
      <c r="R316" s="614">
        <f>+$E$275</f>
        <v>1</v>
      </c>
      <c r="S316" s="33">
        <f>+R316</f>
        <v>1</v>
      </c>
      <c r="T316" s="24">
        <f t="shared" si="190"/>
        <v>1</v>
      </c>
      <c r="U316" s="614">
        <f>+$E$275</f>
        <v>1</v>
      </c>
      <c r="V316" s="33">
        <f>+U316</f>
        <v>1</v>
      </c>
      <c r="W316" s="24">
        <f t="shared" si="191"/>
        <v>1</v>
      </c>
      <c r="X316" s="614">
        <f>+$E$275</f>
        <v>1</v>
      </c>
      <c r="Y316" s="33">
        <f>+X316</f>
        <v>1</v>
      </c>
      <c r="Z316" s="24">
        <f t="shared" si="192"/>
        <v>1</v>
      </c>
      <c r="AA316" s="614">
        <f>+$E$275</f>
        <v>1</v>
      </c>
      <c r="AB316" s="33">
        <f>+AA316</f>
        <v>1</v>
      </c>
      <c r="AC316" s="24">
        <f t="shared" si="193"/>
        <v>1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0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1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Allied Pacific (APC Medicare)</v>
      </c>
      <c r="G340" s="354"/>
      <c r="N340" s="208" t="s">
        <v>1056</v>
      </c>
      <c r="O340" s="3" t="str">
        <f>+$C$1</f>
        <v>Allied Pacific (APC Medicare)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0</v>
      </c>
      <c r="Q344" s="16" t="s">
        <v>67</v>
      </c>
      <c r="R344" s="16"/>
      <c r="S344" s="14">
        <f>Final!$M$5</f>
        <v>0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0.18712228308054071</v>
      </c>
      <c r="E349" s="33">
        <f t="shared" ref="E349:E379" si="209">MIN(SUMPRODUCT(D344:D354,$G$329:$G$339),$E$275)</f>
        <v>0.18712228308054071</v>
      </c>
      <c r="F349" s="24"/>
      <c r="G349" s="601">
        <f t="shared" ref="G349:G382" si="210">F350*G350</f>
        <v>0.18314647642119233</v>
      </c>
      <c r="H349" s="33">
        <f t="shared" ref="H349:H379" si="211">MIN(SUMPRODUCT(G344:G354,$G$329:$G$339),$E$275)</f>
        <v>0.18314647642119233</v>
      </c>
      <c r="I349" s="24"/>
      <c r="J349" s="601">
        <f t="shared" ref="J349:J382" si="212">I350*J350</f>
        <v>0.18411043919926251</v>
      </c>
      <c r="K349" s="33">
        <f t="shared" ref="K349:K379" si="213">MIN(SUMPRODUCT(J344:J354,$G$329:$G$339),$E$275)</f>
        <v>0.18411043919926251</v>
      </c>
      <c r="L349" s="24"/>
      <c r="M349" s="601">
        <f t="shared" ref="M349:M382" si="214">L350*M350</f>
        <v>0.18394009811207335</v>
      </c>
      <c r="N349" s="33">
        <f t="shared" ref="N349:N379" si="215">MIN(SUMPRODUCT(M344:M354,$G$329:$G$339),$E$275)</f>
        <v>0.18394009811207335</v>
      </c>
      <c r="O349" s="252" t="s">
        <v>978</v>
      </c>
      <c r="P349" s="7"/>
      <c r="Q349" s="24"/>
      <c r="R349" s="601">
        <f t="shared" ref="R349:R382" si="216">Q350*R350</f>
        <v>0.18426365903786027</v>
      </c>
      <c r="S349" s="33">
        <f t="shared" ref="S349:S379" si="217">MIN(SUMPRODUCT(R344:R354,$G$329:$G$339),$E$275)</f>
        <v>0.18426365903786027</v>
      </c>
      <c r="T349" s="24"/>
      <c r="U349" s="601">
        <f t="shared" ref="U349:U382" si="218">T350*U350</f>
        <v>0.18380667983013521</v>
      </c>
      <c r="V349" s="33">
        <f t="shared" ref="V349:V379" si="219">MIN(SUMPRODUCT(U344:U354,$G$329:$G$339),$E$275)</f>
        <v>0.18380667983013521</v>
      </c>
      <c r="W349" s="24"/>
      <c r="X349" s="601">
        <f t="shared" ref="X349:X382" si="220">W350*X350</f>
        <v>0.17812149387791221</v>
      </c>
      <c r="Y349" s="33">
        <f t="shared" ref="Y349:Y379" si="221">MIN(SUMPRODUCT(X344:X354,$G$329:$G$339),$E$275)</f>
        <v>0.17812149387791221</v>
      </c>
      <c r="Z349" s="24"/>
      <c r="AA349" s="601">
        <f t="shared" ref="AA349:AA382" si="222">Z350*AA350</f>
        <v>0.17804063483658314</v>
      </c>
      <c r="AB349" s="33">
        <f t="shared" ref="AB349:AB379" si="223">MIN(SUMPRODUCT(AA344:AA354,$G$329:$G$339),$E$275)</f>
        <v>0.17804063483658314</v>
      </c>
      <c r="AC349" s="24"/>
      <c r="AD349" s="601">
        <f t="shared" ref="AD349:AD382" si="224">AC350*AD350</f>
        <v>0.19186216176496881</v>
      </c>
      <c r="AE349" s="33">
        <f t="shared" ref="AE349:AE379" si="225">MIN(SUMPRODUCT(AD344:AD354,$G$329:$G$339),$E$275)</f>
        <v>0.19186216176496881</v>
      </c>
    </row>
    <row r="350" spans="1:31" x14ac:dyDescent="0.2">
      <c r="A350" s="252" t="s">
        <v>979</v>
      </c>
      <c r="B350" s="7"/>
      <c r="C350" s="214">
        <v>0.30118728075497292</v>
      </c>
      <c r="D350" s="601">
        <f t="shared" si="208"/>
        <v>0.62128215577858903</v>
      </c>
      <c r="E350" s="33">
        <f t="shared" si="209"/>
        <v>0.62128215577858903</v>
      </c>
      <c r="F350" s="214">
        <v>0.28305088127981543</v>
      </c>
      <c r="G350" s="601">
        <f t="shared" si="210"/>
        <v>0.64704436033936719</v>
      </c>
      <c r="H350" s="33">
        <f t="shared" si="211"/>
        <v>0.64704436033936719</v>
      </c>
      <c r="I350" s="214">
        <v>0.2762195171157466</v>
      </c>
      <c r="J350" s="601">
        <f t="shared" si="212"/>
        <v>0.66653667750100787</v>
      </c>
      <c r="K350" s="33">
        <f t="shared" si="213"/>
        <v>0.66653667750100787</v>
      </c>
      <c r="L350" s="214">
        <v>0.29007019491637093</v>
      </c>
      <c r="M350" s="601">
        <f t="shared" si="214"/>
        <v>0.6341227100740372</v>
      </c>
      <c r="N350" s="33">
        <f t="shared" si="215"/>
        <v>0.6341227100740372</v>
      </c>
      <c r="O350" s="252" t="s">
        <v>979</v>
      </c>
      <c r="P350" s="7"/>
      <c r="Q350" s="214">
        <v>0.27799246852345172</v>
      </c>
      <c r="R350" s="601">
        <f t="shared" si="216"/>
        <v>0.66283687474186226</v>
      </c>
      <c r="S350" s="33">
        <f t="shared" si="217"/>
        <v>0.66283687474186226</v>
      </c>
      <c r="T350" s="214">
        <v>0.27282987918038731</v>
      </c>
      <c r="U350" s="601">
        <f t="shared" si="218"/>
        <v>0.6737043625218464</v>
      </c>
      <c r="V350" s="33">
        <f t="shared" si="219"/>
        <v>0.6737043625218464</v>
      </c>
      <c r="W350" s="214">
        <v>0.26491448180465804</v>
      </c>
      <c r="X350" s="601">
        <f t="shared" si="220"/>
        <v>0.67237356245875213</v>
      </c>
      <c r="Y350" s="33">
        <f t="shared" si="221"/>
        <v>0.67237356245875213</v>
      </c>
      <c r="Z350" s="214">
        <v>0.26471821043772409</v>
      </c>
      <c r="AA350" s="601">
        <f t="shared" si="222"/>
        <v>0.67256663053963883</v>
      </c>
      <c r="AB350" s="33">
        <f t="shared" si="223"/>
        <v>0.67256663053963883</v>
      </c>
      <c r="AC350" s="214">
        <v>0.27405809546563159</v>
      </c>
      <c r="AD350" s="601">
        <f t="shared" si="224"/>
        <v>0.70007843205284692</v>
      </c>
      <c r="AE350" s="33">
        <f t="shared" si="225"/>
        <v>0.70007843205284692</v>
      </c>
    </row>
    <row r="351" spans="1:31" x14ac:dyDescent="0.2">
      <c r="A351" s="568" t="s">
        <v>980</v>
      </c>
      <c r="B351" s="7"/>
      <c r="C351" s="214">
        <v>0.72305663554624022</v>
      </c>
      <c r="D351" s="601">
        <f t="shared" si="208"/>
        <v>0.85924411067638606</v>
      </c>
      <c r="E351" s="33">
        <f t="shared" si="209"/>
        <v>0.85924411067638606</v>
      </c>
      <c r="F351" s="214">
        <v>0.75211249670285085</v>
      </c>
      <c r="G351" s="601">
        <f t="shared" si="210"/>
        <v>0.86030263182158695</v>
      </c>
      <c r="H351" s="33">
        <f t="shared" si="211"/>
        <v>0.86030263182158695</v>
      </c>
      <c r="I351" s="214">
        <v>0.76858081058266736</v>
      </c>
      <c r="J351" s="601">
        <f t="shared" si="212"/>
        <v>0.86723044385625636</v>
      </c>
      <c r="K351" s="33">
        <f t="shared" si="213"/>
        <v>0.86723044385625636</v>
      </c>
      <c r="L351" s="214">
        <v>0.77185476706906919</v>
      </c>
      <c r="M351" s="601">
        <f t="shared" si="214"/>
        <v>0.82155703006404179</v>
      </c>
      <c r="N351" s="33">
        <f t="shared" si="215"/>
        <v>0.82155703006404179</v>
      </c>
      <c r="O351" s="568" t="s">
        <v>980</v>
      </c>
      <c r="P351" s="7"/>
      <c r="Q351" s="214">
        <v>0.76793297050230847</v>
      </c>
      <c r="R351" s="601">
        <f t="shared" si="216"/>
        <v>0.86314418081085598</v>
      </c>
      <c r="S351" s="33">
        <f t="shared" si="217"/>
        <v>0.86314418081085598</v>
      </c>
      <c r="T351" s="214">
        <v>0.77412113607653676</v>
      </c>
      <c r="U351" s="601">
        <f t="shared" si="218"/>
        <v>0.87028286804875166</v>
      </c>
      <c r="V351" s="33">
        <f t="shared" si="219"/>
        <v>0.87028286804875166</v>
      </c>
      <c r="W351" s="214">
        <v>0.7811683578594617</v>
      </c>
      <c r="X351" s="601">
        <f t="shared" si="220"/>
        <v>0.86072810770417485</v>
      </c>
      <c r="Y351" s="33">
        <f t="shared" si="221"/>
        <v>0.86072810770417485</v>
      </c>
      <c r="Z351" s="214">
        <v>0.77438856119198329</v>
      </c>
      <c r="AA351" s="601">
        <f t="shared" si="222"/>
        <v>0.86851312667168756</v>
      </c>
      <c r="AB351" s="33">
        <f t="shared" si="223"/>
        <v>0.86851312667168756</v>
      </c>
      <c r="AC351" s="214">
        <v>0.79570968773298423</v>
      </c>
      <c r="AD351" s="601">
        <f t="shared" si="224"/>
        <v>0.8798163989273583</v>
      </c>
      <c r="AE351" s="33">
        <f t="shared" si="225"/>
        <v>0.8798163989273583</v>
      </c>
    </row>
    <row r="352" spans="1:31" x14ac:dyDescent="0.2">
      <c r="A352" s="568" t="s">
        <v>981</v>
      </c>
      <c r="B352" s="7"/>
      <c r="C352" s="214">
        <v>0.93393223358645028</v>
      </c>
      <c r="D352" s="601">
        <f t="shared" si="208"/>
        <v>0.92002832729817041</v>
      </c>
      <c r="E352" s="33">
        <f t="shared" si="209"/>
        <v>0.92002832729817041</v>
      </c>
      <c r="F352" s="214">
        <v>0.93083865966305568</v>
      </c>
      <c r="G352" s="601">
        <f t="shared" si="210"/>
        <v>0.92422314317391874</v>
      </c>
      <c r="H352" s="33">
        <f t="shared" si="211"/>
        <v>0.92422314317391874</v>
      </c>
      <c r="I352" s="214">
        <v>0.93547859648753262</v>
      </c>
      <c r="J352" s="601">
        <f t="shared" si="212"/>
        <v>0.92704466688224674</v>
      </c>
      <c r="K352" s="33">
        <f t="shared" si="213"/>
        <v>0.92704466688224674</v>
      </c>
      <c r="L352" s="214">
        <v>0.91749049196853283</v>
      </c>
      <c r="M352" s="601">
        <f t="shared" si="214"/>
        <v>0.89543928493617431</v>
      </c>
      <c r="N352" s="33">
        <f t="shared" si="215"/>
        <v>0.89543928493617431</v>
      </c>
      <c r="O352" s="568" t="s">
        <v>981</v>
      </c>
      <c r="P352" s="7"/>
      <c r="Q352" s="214">
        <v>0.92917029216870717</v>
      </c>
      <c r="R352" s="601">
        <f t="shared" si="216"/>
        <v>0.92894078522060308</v>
      </c>
      <c r="S352" s="33">
        <f t="shared" si="217"/>
        <v>0.92894078522060308</v>
      </c>
      <c r="T352" s="214">
        <v>0.93536877551813602</v>
      </c>
      <c r="U352" s="601">
        <f t="shared" si="218"/>
        <v>0.93041684822830351</v>
      </c>
      <c r="V352" s="33">
        <f t="shared" si="219"/>
        <v>0.93041684822830351</v>
      </c>
      <c r="W352" s="214">
        <v>0.92774508573966097</v>
      </c>
      <c r="X352" s="601">
        <f t="shared" si="220"/>
        <v>0.92776358606949061</v>
      </c>
      <c r="Y352" s="33">
        <f t="shared" si="221"/>
        <v>0.92776358606949061</v>
      </c>
      <c r="Z352" s="214">
        <v>0.94005758006083118</v>
      </c>
      <c r="AA352" s="601">
        <f t="shared" si="222"/>
        <v>0.92389354130359336</v>
      </c>
      <c r="AB352" s="33">
        <f t="shared" si="223"/>
        <v>0.92389354130359336</v>
      </c>
      <c r="AC352" s="214">
        <v>0.94017948656318751</v>
      </c>
      <c r="AD352" s="601">
        <f t="shared" si="224"/>
        <v>0.93579620859790758</v>
      </c>
      <c r="AE352" s="33">
        <f t="shared" si="225"/>
        <v>0.93579620859790758</v>
      </c>
    </row>
    <row r="353" spans="1:31" x14ac:dyDescent="0.2">
      <c r="A353" s="568" t="s">
        <v>982</v>
      </c>
      <c r="B353" s="7"/>
      <c r="C353" s="214">
        <v>0.97487302814590426</v>
      </c>
      <c r="D353" s="601">
        <f t="shared" si="208"/>
        <v>0.94374169839118216</v>
      </c>
      <c r="E353" s="33">
        <f t="shared" si="209"/>
        <v>0.94374169839118216</v>
      </c>
      <c r="F353" s="214">
        <v>0.97679779474605211</v>
      </c>
      <c r="G353" s="601">
        <f t="shared" si="210"/>
        <v>0.94617652511613037</v>
      </c>
      <c r="H353" s="33">
        <f t="shared" si="211"/>
        <v>0.94617652511613037</v>
      </c>
      <c r="I353" s="214">
        <v>0.97935288468814152</v>
      </c>
      <c r="J353" s="601">
        <f t="shared" si="212"/>
        <v>0.94658899909959271</v>
      </c>
      <c r="K353" s="33">
        <f t="shared" si="213"/>
        <v>0.94658899909959271</v>
      </c>
      <c r="L353" s="214">
        <v>0.96734648706741344</v>
      </c>
      <c r="M353" s="601">
        <f t="shared" si="214"/>
        <v>0.92566551582853063</v>
      </c>
      <c r="N353" s="33">
        <f t="shared" si="215"/>
        <v>0.92566551582853063</v>
      </c>
      <c r="O353" s="568" t="s">
        <v>982</v>
      </c>
      <c r="P353" s="7"/>
      <c r="Q353" s="214">
        <v>0.97580012556342144</v>
      </c>
      <c r="R353" s="601">
        <f t="shared" si="216"/>
        <v>0.95197854651252267</v>
      </c>
      <c r="S353" s="33">
        <f t="shared" si="217"/>
        <v>0.95197854651252267</v>
      </c>
      <c r="T353" s="214">
        <v>0.97913626894986583</v>
      </c>
      <c r="U353" s="601">
        <f t="shared" si="218"/>
        <v>0.95024245116176276</v>
      </c>
      <c r="V353" s="33">
        <f t="shared" si="219"/>
        <v>0.95024245116176276</v>
      </c>
      <c r="W353" s="214">
        <v>0.97872256134620006</v>
      </c>
      <c r="X353" s="601">
        <f t="shared" si="220"/>
        <v>0.94793317607124838</v>
      </c>
      <c r="Y353" s="33">
        <f t="shared" si="221"/>
        <v>0.94793317607124838</v>
      </c>
      <c r="Z353" s="214">
        <v>0.98115808219670109</v>
      </c>
      <c r="AA353" s="601">
        <f t="shared" si="222"/>
        <v>0.9416357649881465</v>
      </c>
      <c r="AB353" s="33">
        <f t="shared" si="223"/>
        <v>0.9416357649881465</v>
      </c>
      <c r="AC353" s="24">
        <v>0.9826578670637609</v>
      </c>
      <c r="AD353" s="601">
        <f t="shared" si="224"/>
        <v>0.95231131807260783</v>
      </c>
      <c r="AE353" s="33">
        <f t="shared" si="225"/>
        <v>0.95231131807260783</v>
      </c>
    </row>
    <row r="354" spans="1:31" x14ac:dyDescent="0.2">
      <c r="A354" s="568" t="s">
        <v>983</v>
      </c>
      <c r="B354" s="7"/>
      <c r="C354" s="24">
        <v>0.99286388570800777</v>
      </c>
      <c r="D354" s="601">
        <f t="shared" si="208"/>
        <v>0.95052475165636952</v>
      </c>
      <c r="E354" s="33">
        <f t="shared" si="209"/>
        <v>0.95052475165636952</v>
      </c>
      <c r="F354" s="24">
        <v>0.99262394846062207</v>
      </c>
      <c r="G354" s="601">
        <f t="shared" si="210"/>
        <v>0.95320743226422944</v>
      </c>
      <c r="H354" s="33">
        <f t="shared" si="211"/>
        <v>0.95320743226422944</v>
      </c>
      <c r="I354" s="24">
        <v>0.99230920173417969</v>
      </c>
      <c r="J354" s="601">
        <f t="shared" si="212"/>
        <v>0.95392544727521877</v>
      </c>
      <c r="K354" s="33">
        <f t="shared" si="213"/>
        <v>0.95392544727521877</v>
      </c>
      <c r="L354" s="24">
        <v>0.98483027349831365</v>
      </c>
      <c r="M354" s="601">
        <f t="shared" si="214"/>
        <v>0.93992390439053219</v>
      </c>
      <c r="N354" s="33">
        <f t="shared" si="215"/>
        <v>0.93992390439053219</v>
      </c>
      <c r="O354" s="568" t="s">
        <v>983</v>
      </c>
      <c r="P354" s="7"/>
      <c r="Q354" s="24">
        <v>0.99273205730075154</v>
      </c>
      <c r="R354" s="601">
        <f t="shared" si="216"/>
        <v>0.95894812654782391</v>
      </c>
      <c r="S354" s="33">
        <f t="shared" si="217"/>
        <v>0.95894812654782391</v>
      </c>
      <c r="T354" s="24">
        <v>0.9926694715332387</v>
      </c>
      <c r="U354" s="601">
        <f t="shared" si="218"/>
        <v>0.95725967042590232</v>
      </c>
      <c r="V354" s="33">
        <f t="shared" si="219"/>
        <v>0.95725967042590232</v>
      </c>
      <c r="W354" s="24">
        <v>0.99238401121323638</v>
      </c>
      <c r="X354" s="601">
        <f t="shared" si="220"/>
        <v>0.95520802971458119</v>
      </c>
      <c r="Y354" s="33">
        <f t="shared" si="221"/>
        <v>0.95520802971458119</v>
      </c>
      <c r="Z354" s="24">
        <v>0.990447092791228</v>
      </c>
      <c r="AA354" s="601">
        <f t="shared" si="222"/>
        <v>0.95071788472262164</v>
      </c>
      <c r="AB354" s="33">
        <f t="shared" si="223"/>
        <v>0.95071788472262164</v>
      </c>
      <c r="AC354" s="24">
        <v>0.99225599567131928</v>
      </c>
      <c r="AD354" s="601">
        <f t="shared" si="224"/>
        <v>0.95974357648331821</v>
      </c>
      <c r="AE354" s="33">
        <f t="shared" si="225"/>
        <v>0.95974357648331821</v>
      </c>
    </row>
    <row r="355" spans="1:31" x14ac:dyDescent="0.2">
      <c r="A355" s="568" t="s">
        <v>984</v>
      </c>
      <c r="B355" s="7"/>
      <c r="C355" s="24">
        <v>0.99326443962902422</v>
      </c>
      <c r="D355" s="601">
        <f t="shared" si="208"/>
        <v>0.95697048412543828</v>
      </c>
      <c r="E355" s="33">
        <f t="shared" si="209"/>
        <v>0.95697048412543828</v>
      </c>
      <c r="F355" s="24">
        <v>0.99326685923708558</v>
      </c>
      <c r="G355" s="601">
        <f t="shared" si="210"/>
        <v>0.95966901885398126</v>
      </c>
      <c r="H355" s="33">
        <f t="shared" si="211"/>
        <v>0.95966901885398126</v>
      </c>
      <c r="I355" s="24">
        <v>0.99253207932026799</v>
      </c>
      <c r="J355" s="601">
        <f t="shared" si="212"/>
        <v>0.96110288740340888</v>
      </c>
      <c r="K355" s="33">
        <f t="shared" si="213"/>
        <v>0.96110288740340888</v>
      </c>
      <c r="L355" s="24">
        <v>0.99066327116914621</v>
      </c>
      <c r="M355" s="601">
        <f t="shared" si="214"/>
        <v>0.94878242864628137</v>
      </c>
      <c r="N355" s="33">
        <f t="shared" si="215"/>
        <v>0.94878242864628137</v>
      </c>
      <c r="O355" s="568" t="s">
        <v>984</v>
      </c>
      <c r="P355" s="7"/>
      <c r="Q355" s="24">
        <v>0.99361859818169029</v>
      </c>
      <c r="R355" s="601">
        <f t="shared" si="216"/>
        <v>0.96510686122692058</v>
      </c>
      <c r="S355" s="33">
        <f t="shared" si="217"/>
        <v>0.96510686122692058</v>
      </c>
      <c r="T355" s="24">
        <v>0.99279191518584697</v>
      </c>
      <c r="U355" s="601">
        <f t="shared" si="218"/>
        <v>0.96420977627190574</v>
      </c>
      <c r="V355" s="33">
        <f t="shared" si="219"/>
        <v>0.96420977627190574</v>
      </c>
      <c r="W355" s="24">
        <v>0.99326927884514704</v>
      </c>
      <c r="X355" s="601">
        <f t="shared" si="220"/>
        <v>0.96168083525665982</v>
      </c>
      <c r="Y355" s="33">
        <f t="shared" si="221"/>
        <v>0.96168083525665982</v>
      </c>
      <c r="Z355" s="24">
        <v>0.99213648880010075</v>
      </c>
      <c r="AA355" s="601">
        <f t="shared" si="222"/>
        <v>0.95825311885507691</v>
      </c>
      <c r="AB355" s="33">
        <f t="shared" si="223"/>
        <v>0.95825311885507691</v>
      </c>
      <c r="AC355" s="24">
        <v>0.99231465337413749</v>
      </c>
      <c r="AD355" s="601">
        <f t="shared" si="224"/>
        <v>0.9671766643976597</v>
      </c>
      <c r="AE355" s="33">
        <f t="shared" si="225"/>
        <v>0.9671766643976597</v>
      </c>
    </row>
    <row r="356" spans="1:31" x14ac:dyDescent="0.2">
      <c r="A356" s="568" t="s">
        <v>985</v>
      </c>
      <c r="B356" s="7"/>
      <c r="C356" s="24">
        <v>0.99333689515623869</v>
      </c>
      <c r="D356" s="601">
        <f t="shared" si="208"/>
        <v>0.96338965037125657</v>
      </c>
      <c r="E356" s="33">
        <f t="shared" si="209"/>
        <v>0.96338965037125657</v>
      </c>
      <c r="F356" s="24">
        <v>0.99337197495375962</v>
      </c>
      <c r="G356" s="601">
        <f t="shared" si="210"/>
        <v>0.9660721693891684</v>
      </c>
      <c r="H356" s="33">
        <f t="shared" si="211"/>
        <v>0.9660721693891684</v>
      </c>
      <c r="I356" s="24">
        <v>0.99367046657558866</v>
      </c>
      <c r="J356" s="601">
        <f t="shared" si="212"/>
        <v>0.96722497018109543</v>
      </c>
      <c r="K356" s="33">
        <f t="shared" si="213"/>
        <v>0.96722497018109543</v>
      </c>
      <c r="L356" s="24">
        <v>0.99164586127232801</v>
      </c>
      <c r="M356" s="601">
        <f t="shared" si="214"/>
        <v>0.95677546360043209</v>
      </c>
      <c r="N356" s="33">
        <f t="shared" si="215"/>
        <v>0.95677546360043209</v>
      </c>
      <c r="O356" s="568" t="s">
        <v>985</v>
      </c>
      <c r="P356" s="7"/>
      <c r="Q356" s="24">
        <v>0.99361902970991689</v>
      </c>
      <c r="R356" s="601">
        <f t="shared" si="216"/>
        <v>0.97130472783787125</v>
      </c>
      <c r="S356" s="33">
        <f t="shared" si="217"/>
        <v>0.97130472783787125</v>
      </c>
      <c r="T356" s="24">
        <v>0.99360708453753133</v>
      </c>
      <c r="U356" s="601">
        <f t="shared" si="218"/>
        <v>0.97041354804821223</v>
      </c>
      <c r="V356" s="33">
        <f t="shared" si="219"/>
        <v>0.97041354804821223</v>
      </c>
      <c r="W356" s="24">
        <v>0.99340705475128044</v>
      </c>
      <c r="X356" s="601">
        <f t="shared" si="220"/>
        <v>0.96806322308374992</v>
      </c>
      <c r="Y356" s="33">
        <f t="shared" si="221"/>
        <v>0.96806322308374992</v>
      </c>
      <c r="Z356" s="24">
        <v>0.99317411711447612</v>
      </c>
      <c r="AA356" s="601">
        <f t="shared" si="222"/>
        <v>0.96483899685096797</v>
      </c>
      <c r="AB356" s="33">
        <f t="shared" si="223"/>
        <v>0.96483899685096797</v>
      </c>
      <c r="AC356" s="24">
        <v>0.99476379928035907</v>
      </c>
      <c r="AD356" s="601">
        <f t="shared" si="224"/>
        <v>0.97226765298188711</v>
      </c>
      <c r="AE356" s="33">
        <f t="shared" si="225"/>
        <v>0.97226765298188711</v>
      </c>
    </row>
    <row r="357" spans="1:31" x14ac:dyDescent="0.2">
      <c r="A357" s="568" t="s">
        <v>986</v>
      </c>
      <c r="B357" s="7"/>
      <c r="C357" s="24">
        <v>0.99394390175678871</v>
      </c>
      <c r="D357" s="601">
        <f t="shared" si="208"/>
        <v>0.96925958162072556</v>
      </c>
      <c r="E357" s="33">
        <f t="shared" si="209"/>
        <v>0.96925958162072556</v>
      </c>
      <c r="F357" s="24">
        <v>0.994570076513413</v>
      </c>
      <c r="G357" s="601">
        <f t="shared" si="210"/>
        <v>0.97134650659896438</v>
      </c>
      <c r="H357" s="33">
        <f t="shared" si="211"/>
        <v>0.97134650659896438</v>
      </c>
      <c r="I357" s="24">
        <v>0.99488137327774984</v>
      </c>
      <c r="J357" s="601">
        <f t="shared" si="212"/>
        <v>0.97220130576418651</v>
      </c>
      <c r="K357" s="33">
        <f t="shared" si="213"/>
        <v>0.97220130576418651</v>
      </c>
      <c r="L357" s="24">
        <v>0.99357150892583668</v>
      </c>
      <c r="M357" s="601">
        <f t="shared" si="214"/>
        <v>0.96296588117227189</v>
      </c>
      <c r="N357" s="33">
        <f t="shared" si="215"/>
        <v>0.96296588117227189</v>
      </c>
      <c r="O357" s="568" t="s">
        <v>986</v>
      </c>
      <c r="P357" s="7"/>
      <c r="Q357" s="24">
        <v>0.99504410882163885</v>
      </c>
      <c r="R357" s="601">
        <f t="shared" si="216"/>
        <v>0.97614238326391334</v>
      </c>
      <c r="S357" s="33">
        <f t="shared" si="217"/>
        <v>0.97614238326391334</v>
      </c>
      <c r="T357" s="24">
        <v>0.99513324555390736</v>
      </c>
      <c r="U357" s="601">
        <f t="shared" si="218"/>
        <v>0.97515940943975221</v>
      </c>
      <c r="V357" s="33">
        <f t="shared" si="219"/>
        <v>0.97515940943975221</v>
      </c>
      <c r="W357" s="24">
        <v>0.99519625127003752</v>
      </c>
      <c r="X357" s="601">
        <f t="shared" si="220"/>
        <v>0.97273600241996361</v>
      </c>
      <c r="Y357" s="33">
        <f t="shared" si="221"/>
        <v>0.97273600241996361</v>
      </c>
      <c r="Z357" s="24">
        <v>0.99492478152117536</v>
      </c>
      <c r="AA357" s="601">
        <f t="shared" si="222"/>
        <v>0.96976074450150074</v>
      </c>
      <c r="AB357" s="33">
        <f t="shared" si="223"/>
        <v>0.96976074450150074</v>
      </c>
      <c r="AC357" s="24">
        <v>0.99546055856299809</v>
      </c>
      <c r="AD357" s="601">
        <f t="shared" si="224"/>
        <v>0.97670133147757132</v>
      </c>
      <c r="AE357" s="33">
        <f t="shared" si="225"/>
        <v>0.97670133147757132</v>
      </c>
    </row>
    <row r="358" spans="1:31" x14ac:dyDescent="0.2">
      <c r="A358" s="568" t="s">
        <v>987</v>
      </c>
      <c r="B358" s="7"/>
      <c r="C358" s="24">
        <v>0.99418900856788073</v>
      </c>
      <c r="D358" s="601">
        <f t="shared" si="208"/>
        <v>0.97492486163866798</v>
      </c>
      <c r="E358" s="33">
        <f t="shared" si="209"/>
        <v>0.97492486163866798</v>
      </c>
      <c r="F358" s="24">
        <v>0.99537774514674948</v>
      </c>
      <c r="G358" s="601">
        <f t="shared" si="210"/>
        <v>0.97585716712579085</v>
      </c>
      <c r="H358" s="33">
        <f t="shared" si="211"/>
        <v>0.97585716712579085</v>
      </c>
      <c r="I358" s="24">
        <v>0.99599198235470332</v>
      </c>
      <c r="J358" s="601">
        <f t="shared" si="212"/>
        <v>0.97611358624165689</v>
      </c>
      <c r="K358" s="33">
        <f t="shared" si="213"/>
        <v>0.97611358624165689</v>
      </c>
      <c r="L358" s="24">
        <v>0.99499332546700381</v>
      </c>
      <c r="M358" s="601">
        <f t="shared" si="214"/>
        <v>0.96781139785063408</v>
      </c>
      <c r="N358" s="33">
        <f t="shared" si="215"/>
        <v>0.96781139785063408</v>
      </c>
      <c r="O358" s="568" t="s">
        <v>987</v>
      </c>
      <c r="P358" s="7"/>
      <c r="Q358" s="24">
        <v>0.99543011420126448</v>
      </c>
      <c r="R358" s="601">
        <f t="shared" si="216"/>
        <v>0.98062372168353806</v>
      </c>
      <c r="S358" s="33">
        <f t="shared" si="217"/>
        <v>0.98062372168353806</v>
      </c>
      <c r="T358" s="24">
        <v>0.99604341132320029</v>
      </c>
      <c r="U358" s="601">
        <f t="shared" si="218"/>
        <v>0.97903304048193585</v>
      </c>
      <c r="V358" s="33">
        <f t="shared" si="219"/>
        <v>0.97903304048193585</v>
      </c>
      <c r="W358" s="24">
        <v>0.99612109449049713</v>
      </c>
      <c r="X358" s="601">
        <f t="shared" si="220"/>
        <v>0.97652384614694387</v>
      </c>
      <c r="Y358" s="33">
        <f t="shared" si="221"/>
        <v>0.97652384614694387</v>
      </c>
      <c r="Z358" s="24">
        <v>0.99528519842831342</v>
      </c>
      <c r="AA358" s="601">
        <f t="shared" si="222"/>
        <v>0.9743546332577645</v>
      </c>
      <c r="AB358" s="33">
        <f t="shared" si="223"/>
        <v>0.9743546332577645</v>
      </c>
      <c r="AC358" s="24">
        <v>0.99710757479524281</v>
      </c>
      <c r="AD358" s="601">
        <f t="shared" si="224"/>
        <v>0.97953456193343835</v>
      </c>
      <c r="AE358" s="33">
        <f t="shared" si="225"/>
        <v>0.97953456193343835</v>
      </c>
    </row>
    <row r="359" spans="1:31" x14ac:dyDescent="0.2">
      <c r="A359" s="568" t="s">
        <v>988</v>
      </c>
      <c r="B359" s="7"/>
      <c r="C359" s="24">
        <v>0.99596423236386433</v>
      </c>
      <c r="D359" s="601">
        <f t="shared" si="208"/>
        <v>0.97887537519770107</v>
      </c>
      <c r="E359" s="33">
        <f t="shared" si="209"/>
        <v>0.97887537519770107</v>
      </c>
      <c r="F359" s="24">
        <v>0.99604266342718073</v>
      </c>
      <c r="G359" s="601">
        <f t="shared" si="210"/>
        <v>0.97973430552468943</v>
      </c>
      <c r="H359" s="33">
        <f t="shared" si="211"/>
        <v>0.97973430552468943</v>
      </c>
      <c r="I359" s="24">
        <v>0.99611952501947953</v>
      </c>
      <c r="J359" s="601">
        <f t="shared" si="212"/>
        <v>0.97991612625258862</v>
      </c>
      <c r="K359" s="33">
        <f t="shared" si="213"/>
        <v>0.97991612625258862</v>
      </c>
      <c r="L359" s="24">
        <v>0.9960270527024887</v>
      </c>
      <c r="M359" s="601">
        <f t="shared" si="214"/>
        <v>0.97167179869733655</v>
      </c>
      <c r="N359" s="33">
        <f t="shared" si="215"/>
        <v>0.97167179869733655</v>
      </c>
      <c r="O359" s="568" t="s">
        <v>988</v>
      </c>
      <c r="P359" s="7"/>
      <c r="Q359" s="24">
        <v>0.99624178767492988</v>
      </c>
      <c r="R359" s="601">
        <f t="shared" si="216"/>
        <v>0.98432301657628529</v>
      </c>
      <c r="S359" s="33">
        <f t="shared" si="217"/>
        <v>0.98432301657628529</v>
      </c>
      <c r="T359" s="24">
        <v>0.99607790231518278</v>
      </c>
      <c r="U359" s="601">
        <f t="shared" si="218"/>
        <v>0.98288802332264413</v>
      </c>
      <c r="V359" s="33">
        <f t="shared" si="219"/>
        <v>0.98288802332264413</v>
      </c>
      <c r="W359" s="24">
        <v>0.99623244827839263</v>
      </c>
      <c r="X359" s="601">
        <f t="shared" si="220"/>
        <v>0.98021686388000351</v>
      </c>
      <c r="Y359" s="33">
        <f t="shared" si="221"/>
        <v>0.98021686388000351</v>
      </c>
      <c r="Z359" s="24">
        <v>0.99572399586194693</v>
      </c>
      <c r="AA359" s="601">
        <f t="shared" si="222"/>
        <v>0.97853886951304803</v>
      </c>
      <c r="AB359" s="33">
        <f t="shared" si="223"/>
        <v>0.97853886951304803</v>
      </c>
      <c r="AC359" s="214">
        <v>0.99721517003331772</v>
      </c>
      <c r="AD359" s="601">
        <f t="shared" si="224"/>
        <v>0.98227001691190818</v>
      </c>
      <c r="AE359" s="33">
        <f t="shared" si="225"/>
        <v>0.98227001691190818</v>
      </c>
    </row>
    <row r="360" spans="1:31" x14ac:dyDescent="0.2">
      <c r="A360" s="568" t="s">
        <v>989</v>
      </c>
      <c r="B360" s="7"/>
      <c r="C360" s="24">
        <v>0.99724048113010777</v>
      </c>
      <c r="D360" s="601">
        <f t="shared" si="208"/>
        <v>0.98158407497498024</v>
      </c>
      <c r="E360" s="33">
        <f t="shared" si="209"/>
        <v>0.98158407497498024</v>
      </c>
      <c r="F360" s="24">
        <v>0.99673646470425015</v>
      </c>
      <c r="G360" s="601">
        <f t="shared" si="210"/>
        <v>0.98294217199668166</v>
      </c>
      <c r="H360" s="33">
        <f t="shared" si="211"/>
        <v>0.98294217199668166</v>
      </c>
      <c r="I360" s="24">
        <v>0.99694273479594442</v>
      </c>
      <c r="J360" s="601">
        <f t="shared" si="212"/>
        <v>0.98292117696525383</v>
      </c>
      <c r="K360" s="33">
        <f t="shared" si="213"/>
        <v>0.98292117696525383</v>
      </c>
      <c r="L360" s="24">
        <v>0.99630878555305757</v>
      </c>
      <c r="M360" s="601">
        <f t="shared" si="214"/>
        <v>0.97527173581828364</v>
      </c>
      <c r="N360" s="33">
        <f t="shared" si="215"/>
        <v>0.97527173581828364</v>
      </c>
      <c r="O360" s="568" t="s">
        <v>989</v>
      </c>
      <c r="P360" s="7"/>
      <c r="Q360" s="24">
        <v>0.99702153042159225</v>
      </c>
      <c r="R360" s="601">
        <f t="shared" si="216"/>
        <v>0.98726355102889563</v>
      </c>
      <c r="S360" s="33">
        <f t="shared" si="217"/>
        <v>0.98726355102889563</v>
      </c>
      <c r="T360" s="24">
        <v>0.9969035208948499</v>
      </c>
      <c r="U360" s="601">
        <f t="shared" si="218"/>
        <v>0.98594096893185301</v>
      </c>
      <c r="V360" s="33">
        <f t="shared" si="219"/>
        <v>0.98594096893185301</v>
      </c>
      <c r="W360" s="24">
        <v>0.99641799719139112</v>
      </c>
      <c r="X360" s="601">
        <f t="shared" si="220"/>
        <v>0.98374062556371544</v>
      </c>
      <c r="Y360" s="33">
        <f t="shared" si="221"/>
        <v>0.98374062556371544</v>
      </c>
      <c r="Z360" s="24">
        <v>0.99635036272234556</v>
      </c>
      <c r="AA360" s="601">
        <f t="shared" si="222"/>
        <v>0.98212326318562193</v>
      </c>
      <c r="AB360" s="33">
        <f t="shared" si="223"/>
        <v>0.98212326318562193</v>
      </c>
      <c r="AC360" s="24">
        <v>0.99727644458265841</v>
      </c>
      <c r="AD360" s="601">
        <f t="shared" si="224"/>
        <v>0.98495258987388379</v>
      </c>
      <c r="AE360" s="33">
        <f t="shared" si="225"/>
        <v>0.98495258987388379</v>
      </c>
    </row>
    <row r="361" spans="1:31" x14ac:dyDescent="0.2">
      <c r="A361" s="568" t="s">
        <v>990</v>
      </c>
      <c r="B361" s="7"/>
      <c r="C361" s="602">
        <v>0.99733299707791045</v>
      </c>
      <c r="D361" s="603">
        <f t="shared" si="208"/>
        <v>0.98420896315566309</v>
      </c>
      <c r="E361" s="604">
        <f t="shared" si="209"/>
        <v>0.98420896315566309</v>
      </c>
      <c r="F361" s="602">
        <v>0.9974082452820533</v>
      </c>
      <c r="G361" s="603">
        <f t="shared" si="210"/>
        <v>0.98549633677704274</v>
      </c>
      <c r="H361" s="604">
        <f t="shared" si="211"/>
        <v>0.98549633677704274</v>
      </c>
      <c r="I361" s="602">
        <v>0.99757634414364238</v>
      </c>
      <c r="J361" s="603">
        <f t="shared" si="212"/>
        <v>0.98530922744467331</v>
      </c>
      <c r="K361" s="604">
        <f t="shared" si="213"/>
        <v>0.98530922744467331</v>
      </c>
      <c r="L361" s="602">
        <v>0.99640493945034836</v>
      </c>
      <c r="M361" s="603">
        <f t="shared" si="214"/>
        <v>0.9787905471005367</v>
      </c>
      <c r="N361" s="604">
        <f t="shared" si="215"/>
        <v>0.9787905471005367</v>
      </c>
      <c r="O361" s="568" t="s">
        <v>990</v>
      </c>
      <c r="P361" s="7"/>
      <c r="Q361" s="602">
        <v>0.99735289441670494</v>
      </c>
      <c r="R361" s="603">
        <f t="shared" si="216"/>
        <v>0.98988387816961221</v>
      </c>
      <c r="S361" s="604">
        <f t="shared" si="217"/>
        <v>0.98988387816961221</v>
      </c>
      <c r="T361" s="602">
        <v>0.9976357273894042</v>
      </c>
      <c r="U361" s="603">
        <f t="shared" si="218"/>
        <v>0.98827752641923339</v>
      </c>
      <c r="V361" s="604">
        <f t="shared" si="219"/>
        <v>0.98827752641923339</v>
      </c>
      <c r="W361" s="602">
        <v>0.99737490698912967</v>
      </c>
      <c r="X361" s="603">
        <f t="shared" si="220"/>
        <v>0.98632983311503863</v>
      </c>
      <c r="Y361" s="604">
        <f t="shared" si="221"/>
        <v>0.98632983311503863</v>
      </c>
      <c r="Z361" s="602">
        <v>0.99760162274549546</v>
      </c>
      <c r="AA361" s="603">
        <f t="shared" si="222"/>
        <v>0.98448442824574045</v>
      </c>
      <c r="AB361" s="604">
        <f t="shared" si="223"/>
        <v>0.98448442824574045</v>
      </c>
      <c r="AC361" s="602">
        <v>0.99784832623316599</v>
      </c>
      <c r="AD361" s="603">
        <f t="shared" si="224"/>
        <v>0.98707645639095964</v>
      </c>
      <c r="AE361" s="604">
        <f t="shared" si="225"/>
        <v>0.98707645639095964</v>
      </c>
    </row>
    <row r="362" spans="1:31" x14ac:dyDescent="0.2">
      <c r="A362" s="568" t="s">
        <v>991</v>
      </c>
      <c r="B362" s="7"/>
      <c r="C362" s="602">
        <v>0.99735836818743451</v>
      </c>
      <c r="D362" s="603">
        <f t="shared" si="208"/>
        <v>0.98681576707912055</v>
      </c>
      <c r="E362" s="604">
        <f t="shared" si="209"/>
        <v>0.98681576707912055</v>
      </c>
      <c r="F362" s="602">
        <v>0.9976029102657108</v>
      </c>
      <c r="G362" s="603">
        <f t="shared" si="210"/>
        <v>0.98786433623630521</v>
      </c>
      <c r="H362" s="604">
        <f t="shared" si="211"/>
        <v>0.98786433623630521</v>
      </c>
      <c r="I362" s="602">
        <v>0.99767658711629714</v>
      </c>
      <c r="J362" s="603">
        <f t="shared" si="212"/>
        <v>0.98760383892803305</v>
      </c>
      <c r="K362" s="604">
        <f t="shared" si="213"/>
        <v>0.98760383892803305</v>
      </c>
      <c r="L362" s="602">
        <v>0.99653493767446433</v>
      </c>
      <c r="M362" s="603">
        <f t="shared" si="214"/>
        <v>0.98219391021519398</v>
      </c>
      <c r="N362" s="604">
        <f t="shared" si="215"/>
        <v>0.98219391021519398</v>
      </c>
      <c r="O362" s="568" t="s">
        <v>991</v>
      </c>
      <c r="P362" s="7"/>
      <c r="Q362" s="602">
        <v>0.99740594985905484</v>
      </c>
      <c r="R362" s="603">
        <f t="shared" si="216"/>
        <v>0.99245836493104378</v>
      </c>
      <c r="S362" s="604">
        <f t="shared" si="217"/>
        <v>0.99245836493104378</v>
      </c>
      <c r="T362" s="602">
        <v>0.99787960765047912</v>
      </c>
      <c r="U362" s="603">
        <f t="shared" si="218"/>
        <v>0.99037751532586782</v>
      </c>
      <c r="V362" s="604">
        <f t="shared" si="219"/>
        <v>0.99037751532586782</v>
      </c>
      <c r="W362" s="602">
        <v>0.99786937347906457</v>
      </c>
      <c r="X362" s="603">
        <f t="shared" si="220"/>
        <v>0.98843582068884084</v>
      </c>
      <c r="Y362" s="604">
        <f t="shared" si="221"/>
        <v>0.98843582068884084</v>
      </c>
      <c r="Z362" s="602">
        <v>0.99764055977729704</v>
      </c>
      <c r="AA362" s="603">
        <f t="shared" si="222"/>
        <v>0.98681275394968559</v>
      </c>
      <c r="AB362" s="604">
        <f t="shared" si="223"/>
        <v>0.98681275394968559</v>
      </c>
      <c r="AC362" s="602">
        <v>0.99791453901462523</v>
      </c>
      <c r="AD362" s="603">
        <f t="shared" si="224"/>
        <v>0.9891392677429397</v>
      </c>
      <c r="AE362" s="604">
        <f t="shared" si="225"/>
        <v>0.9891392677429397</v>
      </c>
    </row>
    <row r="363" spans="1:31" x14ac:dyDescent="0.2">
      <c r="A363" s="568" t="s">
        <v>992</v>
      </c>
      <c r="B363" s="7"/>
      <c r="C363" s="602">
        <v>0.99740538676240076</v>
      </c>
      <c r="D363" s="603">
        <f t="shared" si="208"/>
        <v>0.9893828328743498</v>
      </c>
      <c r="E363" s="604">
        <f t="shared" si="209"/>
        <v>0.9893828328743498</v>
      </c>
      <c r="F363" s="602">
        <v>0.99791414056851746</v>
      </c>
      <c r="G363" s="603">
        <f t="shared" si="210"/>
        <v>0.98992918937245766</v>
      </c>
      <c r="H363" s="604">
        <f t="shared" si="211"/>
        <v>0.98992918937245766</v>
      </c>
      <c r="I363" s="602">
        <v>0.99784384680003779</v>
      </c>
      <c r="J363" s="603">
        <f t="shared" si="212"/>
        <v>0.98973786539362529</v>
      </c>
      <c r="K363" s="604">
        <f t="shared" si="213"/>
        <v>0.98973786539362529</v>
      </c>
      <c r="L363" s="602">
        <v>0.99654063075542665</v>
      </c>
      <c r="M363" s="603">
        <f t="shared" si="214"/>
        <v>0.98560347656938263</v>
      </c>
      <c r="N363" s="604">
        <f t="shared" si="215"/>
        <v>0.98560347656938263</v>
      </c>
      <c r="O363" s="568" t="s">
        <v>992</v>
      </c>
      <c r="P363" s="7"/>
      <c r="Q363" s="602">
        <v>0.99820920395646551</v>
      </c>
      <c r="R363" s="603">
        <f t="shared" si="216"/>
        <v>0.99423884391906237</v>
      </c>
      <c r="S363" s="604">
        <f t="shared" si="217"/>
        <v>0.99423884391906237</v>
      </c>
      <c r="T363" s="602">
        <v>0.99788357658247917</v>
      </c>
      <c r="U363" s="603">
        <f t="shared" si="218"/>
        <v>0.99247801904675303</v>
      </c>
      <c r="V363" s="604">
        <f t="shared" si="219"/>
        <v>0.99247801904675303</v>
      </c>
      <c r="W363" s="602">
        <v>0.99787167346070349</v>
      </c>
      <c r="X363" s="603">
        <f t="shared" si="220"/>
        <v>0.99054402181881929</v>
      </c>
      <c r="Y363" s="604">
        <f t="shared" si="221"/>
        <v>0.99054402181881929</v>
      </c>
      <c r="Z363" s="602">
        <v>0.99769427308508973</v>
      </c>
      <c r="AA363" s="603">
        <f t="shared" si="222"/>
        <v>0.9890933330691013</v>
      </c>
      <c r="AB363" s="604">
        <f t="shared" si="223"/>
        <v>0.9890933330691013</v>
      </c>
      <c r="AC363" s="602">
        <v>0.99808367325223368</v>
      </c>
      <c r="AD363" s="603">
        <f t="shared" si="224"/>
        <v>0.99103842117750629</v>
      </c>
      <c r="AE363" s="604">
        <f t="shared" si="225"/>
        <v>0.99103842117750629</v>
      </c>
    </row>
    <row r="364" spans="1:31" x14ac:dyDescent="0.2">
      <c r="A364" s="568" t="s">
        <v>993</v>
      </c>
      <c r="B364" s="7"/>
      <c r="C364" s="602">
        <v>0.99795890765797035</v>
      </c>
      <c r="D364" s="603">
        <f t="shared" si="208"/>
        <v>0.9914063848543152</v>
      </c>
      <c r="E364" s="604">
        <f t="shared" si="209"/>
        <v>0.9914063848543152</v>
      </c>
      <c r="F364" s="602">
        <v>0.99838066610962706</v>
      </c>
      <c r="G364" s="603">
        <f t="shared" si="210"/>
        <v>0.99153481530236143</v>
      </c>
      <c r="H364" s="604">
        <f t="shared" si="211"/>
        <v>0.99153481530236143</v>
      </c>
      <c r="I364" s="602">
        <v>0.99859204456798911</v>
      </c>
      <c r="J364" s="603">
        <f t="shared" si="212"/>
        <v>0.9911333369592441</v>
      </c>
      <c r="K364" s="604">
        <f t="shared" si="213"/>
        <v>0.9911333369592441</v>
      </c>
      <c r="L364" s="602">
        <v>0.99777048272882873</v>
      </c>
      <c r="M364" s="603">
        <f t="shared" si="214"/>
        <v>0.98780580667592988</v>
      </c>
      <c r="N364" s="604">
        <f t="shared" si="215"/>
        <v>0.98780580667592988</v>
      </c>
      <c r="O364" s="568" t="s">
        <v>993</v>
      </c>
      <c r="P364" s="7"/>
      <c r="Q364" s="602">
        <v>0.99895862175732442</v>
      </c>
      <c r="R364" s="603">
        <f t="shared" si="216"/>
        <v>0.99527530196400005</v>
      </c>
      <c r="S364" s="604">
        <f t="shared" si="217"/>
        <v>0.99527530196400005</v>
      </c>
      <c r="T364" s="602">
        <v>0.99877824563026019</v>
      </c>
      <c r="U364" s="603">
        <f t="shared" si="218"/>
        <v>0.99369206667138454</v>
      </c>
      <c r="V364" s="604">
        <f t="shared" si="219"/>
        <v>0.99369206667138454</v>
      </c>
      <c r="W364" s="602">
        <v>0.99833802265680038</v>
      </c>
      <c r="X364" s="603">
        <f t="shared" si="220"/>
        <v>0.99219302414502908</v>
      </c>
      <c r="Y364" s="604">
        <f t="shared" si="221"/>
        <v>0.99219302414502908</v>
      </c>
      <c r="Z364" s="602">
        <v>0.99778783452320619</v>
      </c>
      <c r="AA364" s="603">
        <f t="shared" si="222"/>
        <v>0.99128622222753437</v>
      </c>
      <c r="AB364" s="604">
        <f t="shared" si="223"/>
        <v>0.99128622222753437</v>
      </c>
      <c r="AC364" s="602">
        <v>0.99817406267850262</v>
      </c>
      <c r="AD364" s="603">
        <f t="shared" si="224"/>
        <v>0.99285130543078981</v>
      </c>
      <c r="AE364" s="604">
        <f t="shared" si="225"/>
        <v>0.99285130543078981</v>
      </c>
    </row>
    <row r="365" spans="1:31" x14ac:dyDescent="0.2">
      <c r="A365" s="568" t="s">
        <v>994</v>
      </c>
      <c r="B365" s="7"/>
      <c r="C365" s="602">
        <v>0.99821902868595647</v>
      </c>
      <c r="D365" s="603">
        <f t="shared" si="208"/>
        <v>0.99317520139782411</v>
      </c>
      <c r="E365" s="604">
        <f t="shared" si="209"/>
        <v>0.99317520139782411</v>
      </c>
      <c r="F365" s="602">
        <v>0.99866637821078508</v>
      </c>
      <c r="G365" s="603">
        <f t="shared" si="210"/>
        <v>0.99285891358313216</v>
      </c>
      <c r="H365" s="604">
        <f t="shared" si="211"/>
        <v>0.99285891358313216</v>
      </c>
      <c r="I365" s="602">
        <v>0.99896743268687516</v>
      </c>
      <c r="J365" s="603">
        <f t="shared" si="212"/>
        <v>0.9921578066798834</v>
      </c>
      <c r="K365" s="604">
        <f t="shared" si="213"/>
        <v>0.9921578066798834</v>
      </c>
      <c r="L365" s="602">
        <v>0.99779120468073434</v>
      </c>
      <c r="M365" s="603">
        <f t="shared" si="214"/>
        <v>0.98999249747045071</v>
      </c>
      <c r="N365" s="604">
        <f t="shared" si="215"/>
        <v>0.98999249747045071</v>
      </c>
      <c r="O365" s="568" t="s">
        <v>994</v>
      </c>
      <c r="P365" s="7"/>
      <c r="Q365" s="602">
        <v>0.99926430065660776</v>
      </c>
      <c r="R365" s="603">
        <f t="shared" si="216"/>
        <v>0.99600806444302414</v>
      </c>
      <c r="S365" s="604">
        <f t="shared" si="217"/>
        <v>0.99600806444302414</v>
      </c>
      <c r="T365" s="602">
        <v>0.99903566041486047</v>
      </c>
      <c r="U365" s="603">
        <f t="shared" si="218"/>
        <v>0.99465124824347417</v>
      </c>
      <c r="V365" s="604">
        <f t="shared" si="219"/>
        <v>0.99465124824347417</v>
      </c>
      <c r="W365" s="602">
        <v>0.99882381502510231</v>
      </c>
      <c r="X365" s="603">
        <f t="shared" si="220"/>
        <v>0.99336140089941027</v>
      </c>
      <c r="Y365" s="604">
        <f t="shared" si="221"/>
        <v>0.99336140089941027</v>
      </c>
      <c r="Z365" s="602">
        <v>0.99784258162099071</v>
      </c>
      <c r="AA365" s="603">
        <f t="shared" si="222"/>
        <v>0.99342946521403652</v>
      </c>
      <c r="AB365" s="604">
        <f t="shared" si="223"/>
        <v>0.99342946521403652</v>
      </c>
      <c r="AC365" s="602">
        <v>0.99866756142958801</v>
      </c>
      <c r="AD365" s="603">
        <f t="shared" si="224"/>
        <v>0.99417598385745876</v>
      </c>
      <c r="AE365" s="604">
        <f t="shared" si="225"/>
        <v>0.99417598385745876</v>
      </c>
    </row>
    <row r="366" spans="1:31" x14ac:dyDescent="0.2">
      <c r="A366" s="568" t="s">
        <v>995</v>
      </c>
      <c r="B366" s="7"/>
      <c r="C366" s="602">
        <v>0.99868476171374154</v>
      </c>
      <c r="D366" s="603">
        <f t="shared" si="208"/>
        <v>0.99448318375614042</v>
      </c>
      <c r="E366" s="604">
        <f t="shared" si="209"/>
        <v>0.99448318375614042</v>
      </c>
      <c r="F366" s="602">
        <v>0.99900086736219007</v>
      </c>
      <c r="G366" s="603">
        <f t="shared" si="210"/>
        <v>0.99385190345702557</v>
      </c>
      <c r="H366" s="604">
        <f t="shared" si="211"/>
        <v>0.99385190345702557</v>
      </c>
      <c r="I366" s="602">
        <v>0.99897385924447846</v>
      </c>
      <c r="J366" s="603">
        <f t="shared" si="212"/>
        <v>0.99317694602164064</v>
      </c>
      <c r="K366" s="604">
        <f t="shared" si="213"/>
        <v>0.99317694602164064</v>
      </c>
      <c r="L366" s="602">
        <v>0.99818425726568127</v>
      </c>
      <c r="M366" s="603">
        <f t="shared" si="214"/>
        <v>0.99179333901972144</v>
      </c>
      <c r="N366" s="604">
        <f t="shared" si="215"/>
        <v>0.99179333901972144</v>
      </c>
      <c r="O366" s="568" t="s">
        <v>995</v>
      </c>
      <c r="P366" s="7"/>
      <c r="Q366" s="602">
        <v>0.99946254018805325</v>
      </c>
      <c r="R366" s="603">
        <f t="shared" si="216"/>
        <v>0.99654366661467964</v>
      </c>
      <c r="S366" s="604">
        <f t="shared" si="217"/>
        <v>0.99654366661467964</v>
      </c>
      <c r="T366" s="602">
        <v>0.9992043579732337</v>
      </c>
      <c r="U366" s="603">
        <f t="shared" si="218"/>
        <v>0.99544326474016287</v>
      </c>
      <c r="V366" s="604">
        <f t="shared" si="219"/>
        <v>0.99544326474016287</v>
      </c>
      <c r="W366" s="602">
        <v>0.99900050741614899</v>
      </c>
      <c r="X366" s="603">
        <f t="shared" si="220"/>
        <v>0.99435525159909688</v>
      </c>
      <c r="Y366" s="604">
        <f t="shared" si="221"/>
        <v>0.99435525159909688</v>
      </c>
      <c r="Z366" s="602">
        <v>0.99840123667832092</v>
      </c>
      <c r="AA366" s="603">
        <f t="shared" si="222"/>
        <v>0.99502026712143754</v>
      </c>
      <c r="AB366" s="604">
        <f t="shared" si="223"/>
        <v>0.99502026712143754</v>
      </c>
      <c r="AC366" s="602">
        <v>0.99905282442860632</v>
      </c>
      <c r="AD366" s="603">
        <f t="shared" si="224"/>
        <v>0.99511853582523346</v>
      </c>
      <c r="AE366" s="604">
        <f t="shared" si="225"/>
        <v>0.99511853582523346</v>
      </c>
    </row>
    <row r="367" spans="1:31" x14ac:dyDescent="0.2">
      <c r="A367" s="568" t="s">
        <v>996</v>
      </c>
      <c r="B367" s="7"/>
      <c r="C367" s="602">
        <v>0.99899473376476999</v>
      </c>
      <c r="D367" s="603">
        <f t="shared" si="208"/>
        <v>0.99548391011869752</v>
      </c>
      <c r="E367" s="604">
        <f t="shared" si="209"/>
        <v>0.99548391011869752</v>
      </c>
      <c r="F367" s="602">
        <v>0.99916388621971208</v>
      </c>
      <c r="G367" s="603">
        <f t="shared" si="210"/>
        <v>0.9946835720986833</v>
      </c>
      <c r="H367" s="604">
        <f t="shared" si="211"/>
        <v>0.9946835720986833</v>
      </c>
      <c r="I367" s="602">
        <v>0.99900837402214038</v>
      </c>
      <c r="J367" s="603">
        <f t="shared" si="212"/>
        <v>0.99416278366414323</v>
      </c>
      <c r="K367" s="604">
        <f t="shared" si="213"/>
        <v>0.99416278366414323</v>
      </c>
      <c r="L367" s="602">
        <v>0.99844085048388542</v>
      </c>
      <c r="M367" s="603">
        <f t="shared" si="214"/>
        <v>0.99334210788656907</v>
      </c>
      <c r="N367" s="604">
        <f t="shared" si="215"/>
        <v>0.99334210788656907</v>
      </c>
      <c r="O367" s="568" t="s">
        <v>996</v>
      </c>
      <c r="P367" s="7"/>
      <c r="Q367" s="602">
        <v>0.99953414060233037</v>
      </c>
      <c r="R367" s="603">
        <f t="shared" si="216"/>
        <v>0.99700813222262863</v>
      </c>
      <c r="S367" s="604">
        <f t="shared" si="217"/>
        <v>0.99700813222262863</v>
      </c>
      <c r="T367" s="602">
        <v>0.99925892727404941</v>
      </c>
      <c r="U367" s="603">
        <f t="shared" si="218"/>
        <v>0.99618150768560498</v>
      </c>
      <c r="V367" s="604">
        <f t="shared" si="219"/>
        <v>0.99618150768560498</v>
      </c>
      <c r="W367" s="602">
        <v>0.99905321245203493</v>
      </c>
      <c r="X367" s="603">
        <f t="shared" si="220"/>
        <v>0.99529758696095116</v>
      </c>
      <c r="Y367" s="604">
        <f t="shared" si="221"/>
        <v>0.99529758696095116</v>
      </c>
      <c r="Z367" s="602">
        <v>0.99853241409248117</v>
      </c>
      <c r="AA367" s="603">
        <f t="shared" si="222"/>
        <v>0.996482691075947</v>
      </c>
      <c r="AB367" s="604">
        <f t="shared" si="223"/>
        <v>0.996482691075947</v>
      </c>
      <c r="AC367" s="602">
        <v>0.99910553171346284</v>
      </c>
      <c r="AD367" s="603">
        <f t="shared" si="224"/>
        <v>0.99600943467764447</v>
      </c>
      <c r="AE367" s="604">
        <f t="shared" si="225"/>
        <v>0.99600943467764447</v>
      </c>
    </row>
    <row r="368" spans="1:31" x14ac:dyDescent="0.2">
      <c r="A368" s="568" t="s">
        <v>997</v>
      </c>
      <c r="B368" s="7"/>
      <c r="C368" s="602">
        <v>0.99921581653698399</v>
      </c>
      <c r="D368" s="603">
        <f t="shared" si="208"/>
        <v>0.99626516478570137</v>
      </c>
      <c r="E368" s="604">
        <f t="shared" si="209"/>
        <v>0.99626516478570137</v>
      </c>
      <c r="F368" s="602">
        <v>0.99917974734179815</v>
      </c>
      <c r="G368" s="603">
        <f t="shared" si="210"/>
        <v>0.99550013372961532</v>
      </c>
      <c r="H368" s="604">
        <f t="shared" si="211"/>
        <v>0.99550013372961532</v>
      </c>
      <c r="I368" s="602">
        <v>0.99903233187675411</v>
      </c>
      <c r="J368" s="603">
        <f t="shared" si="212"/>
        <v>0.99512573511663727</v>
      </c>
      <c r="K368" s="604">
        <f t="shared" si="213"/>
        <v>0.99512573511663727</v>
      </c>
      <c r="L368" s="602">
        <v>0.99903233187675411</v>
      </c>
      <c r="M368" s="603">
        <f t="shared" si="214"/>
        <v>0.99430426442806352</v>
      </c>
      <c r="N368" s="604">
        <f t="shared" si="215"/>
        <v>0.99430426442806352</v>
      </c>
      <c r="O368" s="568" t="s">
        <v>997</v>
      </c>
      <c r="P368" s="7"/>
      <c r="Q368" s="602">
        <v>0.99956700582357061</v>
      </c>
      <c r="R368" s="603">
        <f t="shared" si="216"/>
        <v>0.99744001794173498</v>
      </c>
      <c r="S368" s="604">
        <f t="shared" si="217"/>
        <v>0.99744001794173498</v>
      </c>
      <c r="T368" s="602">
        <v>0.99943134040471349</v>
      </c>
      <c r="U368" s="603">
        <f t="shared" si="218"/>
        <v>0.99674831818082421</v>
      </c>
      <c r="V368" s="604">
        <f t="shared" si="219"/>
        <v>0.99674831818082421</v>
      </c>
      <c r="W368" s="602">
        <v>0.99908997664300303</v>
      </c>
      <c r="X368" s="603">
        <f t="shared" si="220"/>
        <v>0.99620415601125889</v>
      </c>
      <c r="Y368" s="604">
        <f t="shared" si="221"/>
        <v>0.99620415601125889</v>
      </c>
      <c r="Z368" s="602">
        <v>0.99911546722418898</v>
      </c>
      <c r="AA368" s="603">
        <f t="shared" si="222"/>
        <v>0.99736489301326048</v>
      </c>
      <c r="AB368" s="604">
        <f t="shared" si="223"/>
        <v>0.99736489301326048</v>
      </c>
      <c r="AC368" s="602">
        <v>0.99927727553583556</v>
      </c>
      <c r="AD368" s="603">
        <f t="shared" si="224"/>
        <v>0.99672979568514775</v>
      </c>
      <c r="AE368" s="604">
        <f t="shared" si="225"/>
        <v>0.99672979568514775</v>
      </c>
    </row>
    <row r="369" spans="1:31" x14ac:dyDescent="0.2">
      <c r="A369" s="568" t="s">
        <v>998</v>
      </c>
      <c r="B369" s="7"/>
      <c r="C369" s="602">
        <v>0.9994351946731358</v>
      </c>
      <c r="D369" s="603">
        <f t="shared" si="208"/>
        <v>0.99682817865097173</v>
      </c>
      <c r="E369" s="604">
        <f t="shared" si="209"/>
        <v>0.99682817865097173</v>
      </c>
      <c r="F369" s="602">
        <v>0.99935489427600444</v>
      </c>
      <c r="G369" s="603">
        <f t="shared" si="210"/>
        <v>0.99614275112027972</v>
      </c>
      <c r="H369" s="604">
        <f t="shared" si="211"/>
        <v>0.99614275112027972</v>
      </c>
      <c r="I369" s="602">
        <v>0.99923464380701432</v>
      </c>
      <c r="J369" s="603">
        <f t="shared" si="212"/>
        <v>0.99588794412219095</v>
      </c>
      <c r="K369" s="604">
        <f t="shared" si="213"/>
        <v>0.99588794412219095</v>
      </c>
      <c r="L369" s="602">
        <v>0.99911787226543913</v>
      </c>
      <c r="M369" s="603">
        <f t="shared" si="214"/>
        <v>0.99518214219663492</v>
      </c>
      <c r="N369" s="604">
        <f t="shared" si="215"/>
        <v>0.99518214219663492</v>
      </c>
      <c r="O369" s="568" t="s">
        <v>998</v>
      </c>
      <c r="P369" s="7"/>
      <c r="Q369" s="602">
        <v>0.99960573618558368</v>
      </c>
      <c r="R369" s="603">
        <f t="shared" si="216"/>
        <v>0.9978334275550349</v>
      </c>
      <c r="S369" s="604">
        <f t="shared" si="217"/>
        <v>0.9978334275550349</v>
      </c>
      <c r="T369" s="602">
        <v>0.99946527852867939</v>
      </c>
      <c r="U369" s="603">
        <f t="shared" si="218"/>
        <v>0.99728158605784201</v>
      </c>
      <c r="V369" s="604">
        <f t="shared" si="219"/>
        <v>0.99728158605784201</v>
      </c>
      <c r="W369" s="602">
        <v>0.99926986552416308</v>
      </c>
      <c r="X369" s="603">
        <f t="shared" si="220"/>
        <v>0.99693205047137479</v>
      </c>
      <c r="Y369" s="604">
        <f t="shared" si="221"/>
        <v>0.99693205047137479</v>
      </c>
      <c r="Z369" s="602">
        <v>0.99937638875201051</v>
      </c>
      <c r="AA369" s="603">
        <f t="shared" si="222"/>
        <v>0.99798724908714131</v>
      </c>
      <c r="AB369" s="604">
        <f t="shared" si="223"/>
        <v>0.99798724908714131</v>
      </c>
      <c r="AC369" s="602">
        <v>0.99929823832776166</v>
      </c>
      <c r="AD369" s="603">
        <f t="shared" si="224"/>
        <v>0.99742975365701436</v>
      </c>
      <c r="AE369" s="604">
        <f t="shared" si="225"/>
        <v>0.99742975365701436</v>
      </c>
    </row>
    <row r="370" spans="1:31" x14ac:dyDescent="0.2">
      <c r="A370" s="568" t="s">
        <v>999</v>
      </c>
      <c r="B370" s="7"/>
      <c r="C370" s="602">
        <v>0.99944754980570272</v>
      </c>
      <c r="D370" s="603">
        <f t="shared" si="208"/>
        <v>0.99737918097328848</v>
      </c>
      <c r="E370" s="604">
        <f t="shared" si="209"/>
        <v>0.99737918097328848</v>
      </c>
      <c r="F370" s="602">
        <v>0.99939573383261393</v>
      </c>
      <c r="G370" s="603">
        <f t="shared" si="210"/>
        <v>0.9967450504317652</v>
      </c>
      <c r="H370" s="604">
        <f t="shared" si="211"/>
        <v>0.9967450504317652</v>
      </c>
      <c r="I370" s="602">
        <v>0.99942010897297651</v>
      </c>
      <c r="J370" s="603">
        <f t="shared" si="212"/>
        <v>0.99646578569004851</v>
      </c>
      <c r="K370" s="604">
        <f t="shared" si="213"/>
        <v>0.99646578569004851</v>
      </c>
      <c r="L370" s="602">
        <v>0.99919164113079073</v>
      </c>
      <c r="M370" s="603">
        <f t="shared" si="214"/>
        <v>0.99598725732971682</v>
      </c>
      <c r="N370" s="604">
        <f t="shared" si="215"/>
        <v>0.99598725732971682</v>
      </c>
      <c r="O370" s="568" t="s">
        <v>999</v>
      </c>
      <c r="P370" s="7"/>
      <c r="Q370" s="602">
        <v>0.99965171855623047</v>
      </c>
      <c r="R370" s="603">
        <f t="shared" si="216"/>
        <v>0.99818107550115387</v>
      </c>
      <c r="S370" s="604">
        <f t="shared" si="217"/>
        <v>0.99818107550115387</v>
      </c>
      <c r="T370" s="602">
        <v>0.99951611884897174</v>
      </c>
      <c r="U370" s="603">
        <f t="shared" si="218"/>
        <v>0.99776438543712231</v>
      </c>
      <c r="V370" s="604">
        <f t="shared" si="219"/>
        <v>0.99776438543712231</v>
      </c>
      <c r="W370" s="602">
        <v>0.99940296403181972</v>
      </c>
      <c r="X370" s="603">
        <f t="shared" si="220"/>
        <v>0.99752761033399706</v>
      </c>
      <c r="Y370" s="604">
        <f t="shared" si="221"/>
        <v>0.99752761033399706</v>
      </c>
      <c r="Z370" s="602">
        <v>0.99943627458829987</v>
      </c>
      <c r="AA370" s="603">
        <f t="shared" si="222"/>
        <v>0.99855015718560403</v>
      </c>
      <c r="AB370" s="604">
        <f t="shared" si="223"/>
        <v>0.99855015718560403</v>
      </c>
      <c r="AC370" s="602">
        <v>0.99940567489565713</v>
      </c>
      <c r="AD370" s="603">
        <f t="shared" si="224"/>
        <v>0.99802290372340641</v>
      </c>
      <c r="AE370" s="604">
        <f t="shared" si="225"/>
        <v>0.99802290372340641</v>
      </c>
    </row>
    <row r="371" spans="1:31" x14ac:dyDescent="0.2">
      <c r="A371" s="568" t="s">
        <v>1000</v>
      </c>
      <c r="B371" s="7"/>
      <c r="C371" s="602">
        <v>0.99952113842628121</v>
      </c>
      <c r="D371" s="603">
        <f t="shared" si="208"/>
        <v>0.99785701635448631</v>
      </c>
      <c r="E371" s="604">
        <f t="shared" si="209"/>
        <v>0.99785701635448631</v>
      </c>
      <c r="F371" s="602">
        <v>0.99942973865921692</v>
      </c>
      <c r="G371" s="603">
        <f t="shared" si="210"/>
        <v>0.99731377992508674</v>
      </c>
      <c r="H371" s="604">
        <f t="shared" si="211"/>
        <v>0.99731377992508674</v>
      </c>
      <c r="I371" s="602">
        <v>0.99945325182675226</v>
      </c>
      <c r="J371" s="603">
        <f t="shared" si="212"/>
        <v>0.99701089957810096</v>
      </c>
      <c r="K371" s="604">
        <f t="shared" si="213"/>
        <v>0.99701089957810096</v>
      </c>
      <c r="L371" s="602">
        <v>0.9992045265682441</v>
      </c>
      <c r="M371" s="603">
        <f t="shared" si="214"/>
        <v>0.99678016947183279</v>
      </c>
      <c r="N371" s="604">
        <f t="shared" si="215"/>
        <v>0.99678016947183279</v>
      </c>
      <c r="O371" s="568" t="s">
        <v>1000</v>
      </c>
      <c r="P371" s="7"/>
      <c r="Q371" s="602">
        <v>0.99965856081070481</v>
      </c>
      <c r="R371" s="603">
        <f t="shared" si="216"/>
        <v>0.99852201004675767</v>
      </c>
      <c r="S371" s="604">
        <f t="shared" si="217"/>
        <v>0.99852201004675767</v>
      </c>
      <c r="T371" s="602">
        <v>0.99954768758771162</v>
      </c>
      <c r="U371" s="603">
        <f t="shared" si="218"/>
        <v>0.99821589087470841</v>
      </c>
      <c r="V371" s="604">
        <f t="shared" si="219"/>
        <v>0.99821589087470841</v>
      </c>
      <c r="W371" s="602">
        <v>0.99953948234380252</v>
      </c>
      <c r="X371" s="603">
        <f t="shared" si="220"/>
        <v>0.99798720106074468</v>
      </c>
      <c r="Y371" s="604">
        <f t="shared" si="221"/>
        <v>0.99798720106074468</v>
      </c>
      <c r="Z371" s="602">
        <v>0.99952655025042236</v>
      </c>
      <c r="AA371" s="603">
        <f t="shared" si="222"/>
        <v>0.99902314444316287</v>
      </c>
      <c r="AB371" s="604">
        <f t="shared" si="223"/>
        <v>0.99902314444316287</v>
      </c>
      <c r="AC371" s="602">
        <v>0.99946675934479945</v>
      </c>
      <c r="AD371" s="603">
        <f t="shared" si="224"/>
        <v>0.99855537404531636</v>
      </c>
      <c r="AE371" s="604">
        <f t="shared" si="225"/>
        <v>0.99855537404531636</v>
      </c>
    </row>
    <row r="372" spans="1:31" x14ac:dyDescent="0.2">
      <c r="A372" s="568" t="s">
        <v>1001</v>
      </c>
      <c r="B372" s="7"/>
      <c r="C372" s="602">
        <v>0.99966427747986486</v>
      </c>
      <c r="D372" s="603">
        <f t="shared" si="208"/>
        <v>0.99819213193259781</v>
      </c>
      <c r="E372" s="604">
        <f t="shared" si="209"/>
        <v>0.99819213193259781</v>
      </c>
      <c r="F372" s="602">
        <v>0.99956919011361833</v>
      </c>
      <c r="G372" s="603">
        <f t="shared" si="210"/>
        <v>0.99774361773968323</v>
      </c>
      <c r="H372" s="604">
        <f t="shared" si="211"/>
        <v>0.99774361773968323</v>
      </c>
      <c r="I372" s="602">
        <v>0.99952312624555828</v>
      </c>
      <c r="J372" s="603">
        <f t="shared" si="212"/>
        <v>0.99748657474600533</v>
      </c>
      <c r="K372" s="604">
        <f t="shared" si="213"/>
        <v>0.99748657474600533</v>
      </c>
      <c r="L372" s="602">
        <v>0.99926566046450471</v>
      </c>
      <c r="M372" s="603">
        <f t="shared" si="214"/>
        <v>0.99751268247172975</v>
      </c>
      <c r="N372" s="604">
        <f t="shared" si="215"/>
        <v>0.99751268247172975</v>
      </c>
      <c r="O372" s="568" t="s">
        <v>1001</v>
      </c>
      <c r="P372" s="7"/>
      <c r="Q372" s="602">
        <v>0.9997392931368505</v>
      </c>
      <c r="R372" s="603">
        <f t="shared" si="216"/>
        <v>0.99878239947309322</v>
      </c>
      <c r="S372" s="604">
        <f t="shared" si="217"/>
        <v>0.99878239947309322</v>
      </c>
      <c r="T372" s="602">
        <v>0.99962471709936207</v>
      </c>
      <c r="U372" s="603">
        <f t="shared" si="218"/>
        <v>0.99859064486846449</v>
      </c>
      <c r="V372" s="604">
        <f t="shared" si="219"/>
        <v>0.99859064486846449</v>
      </c>
      <c r="W372" s="602">
        <v>0.99956581215883189</v>
      </c>
      <c r="X372" s="603">
        <f t="shared" si="220"/>
        <v>0.99842070319044052</v>
      </c>
      <c r="Y372" s="604">
        <f t="shared" si="221"/>
        <v>0.99842070319044052</v>
      </c>
      <c r="Z372" s="602">
        <v>0.9995642458007552</v>
      </c>
      <c r="AA372" s="603">
        <f t="shared" si="222"/>
        <v>0.99945866275242878</v>
      </c>
      <c r="AB372" s="604">
        <f t="shared" si="223"/>
        <v>0.99945866275242878</v>
      </c>
      <c r="AC372" s="602">
        <v>0.99961241365390174</v>
      </c>
      <c r="AD372" s="603">
        <f t="shared" si="224"/>
        <v>0.99894255053844161</v>
      </c>
      <c r="AE372" s="604">
        <f t="shared" si="225"/>
        <v>0.99894255053844161</v>
      </c>
    </row>
    <row r="373" spans="1:31" x14ac:dyDescent="0.2">
      <c r="A373" s="568" t="s">
        <v>1043</v>
      </c>
      <c r="B373" s="595"/>
      <c r="C373" s="602">
        <v>0.99967920131974963</v>
      </c>
      <c r="D373" s="603">
        <f t="shared" si="208"/>
        <v>0.99851245340986527</v>
      </c>
      <c r="E373" s="604">
        <f t="shared" si="209"/>
        <v>0.99851245340986527</v>
      </c>
      <c r="F373" s="602">
        <v>0.99957639600485182</v>
      </c>
      <c r="G373" s="603">
        <f t="shared" si="210"/>
        <v>0.99816644503362228</v>
      </c>
      <c r="H373" s="604">
        <f t="shared" si="211"/>
        <v>0.99816644503362228</v>
      </c>
      <c r="I373" s="602">
        <v>0.99953273533739295</v>
      </c>
      <c r="J373" s="603">
        <f t="shared" si="212"/>
        <v>0.99795288286311412</v>
      </c>
      <c r="K373" s="604">
        <f t="shared" si="213"/>
        <v>0.99795288286311412</v>
      </c>
      <c r="L373" s="602">
        <v>0.99955889661832387</v>
      </c>
      <c r="M373" s="603">
        <f t="shared" si="214"/>
        <v>0.99795288286311412</v>
      </c>
      <c r="N373" s="604">
        <f t="shared" si="215"/>
        <v>0.99795288286311412</v>
      </c>
      <c r="O373" s="568" t="s">
        <v>1043</v>
      </c>
      <c r="P373" s="595"/>
      <c r="Q373" s="602">
        <v>0.99974551141275181</v>
      </c>
      <c r="R373" s="603">
        <f t="shared" si="216"/>
        <v>0.99903664289695326</v>
      </c>
      <c r="S373" s="604">
        <f t="shared" si="217"/>
        <v>0.99903664289695326</v>
      </c>
      <c r="T373" s="602">
        <v>0.9996453420576924</v>
      </c>
      <c r="U373" s="603">
        <f t="shared" si="218"/>
        <v>0.998944928621328</v>
      </c>
      <c r="V373" s="604">
        <f t="shared" si="219"/>
        <v>0.998944928621328</v>
      </c>
      <c r="W373" s="602">
        <v>0.99964286260683444</v>
      </c>
      <c r="X373" s="603">
        <f t="shared" si="220"/>
        <v>0.99877740394883952</v>
      </c>
      <c r="Y373" s="604">
        <f t="shared" si="221"/>
        <v>0.99877740394883952</v>
      </c>
      <c r="Z373" s="602">
        <v>0.99978794102117052</v>
      </c>
      <c r="AA373" s="603">
        <f t="shared" si="222"/>
        <v>0.99967065189003435</v>
      </c>
      <c r="AB373" s="604">
        <f t="shared" si="223"/>
        <v>0.99967065189003435</v>
      </c>
      <c r="AC373" s="602">
        <v>0.9996451791324843</v>
      </c>
      <c r="AD373" s="603">
        <f t="shared" si="224"/>
        <v>0.99929712201017917</v>
      </c>
      <c r="AE373" s="604">
        <f t="shared" si="225"/>
        <v>0.99929712201017917</v>
      </c>
    </row>
    <row r="374" spans="1:31" x14ac:dyDescent="0.2">
      <c r="A374" s="568" t="s">
        <v>1044</v>
      </c>
      <c r="B374" s="595"/>
      <c r="C374" s="602">
        <v>0.99970662366447771</v>
      </c>
      <c r="D374" s="603">
        <f t="shared" si="208"/>
        <v>0.99880547930128227</v>
      </c>
      <c r="E374" s="604">
        <f t="shared" si="209"/>
        <v>0.99880547930128227</v>
      </c>
      <c r="F374" s="602">
        <v>0.99961872245103356</v>
      </c>
      <c r="G374" s="603">
        <f t="shared" si="210"/>
        <v>0.99854716865061277</v>
      </c>
      <c r="H374" s="604">
        <f t="shared" si="211"/>
        <v>0.99854716865061277</v>
      </c>
      <c r="I374" s="602">
        <v>0.99957639600485182</v>
      </c>
      <c r="J374" s="603">
        <f t="shared" si="212"/>
        <v>0.99837579884016203</v>
      </c>
      <c r="K374" s="604">
        <f t="shared" si="213"/>
        <v>0.99837579884016203</v>
      </c>
      <c r="L374" s="602">
        <v>0.99957639600485182</v>
      </c>
      <c r="M374" s="603">
        <f t="shared" si="214"/>
        <v>0.99837579884016203</v>
      </c>
      <c r="N374" s="604">
        <f t="shared" si="215"/>
        <v>0.99837579884016203</v>
      </c>
      <c r="O374" s="568" t="s">
        <v>1044</v>
      </c>
      <c r="P374" s="595"/>
      <c r="Q374" s="602">
        <v>0.9997875614771935</v>
      </c>
      <c r="R374" s="603">
        <f t="shared" si="216"/>
        <v>0.99924892186182956</v>
      </c>
      <c r="S374" s="604">
        <f t="shared" si="217"/>
        <v>0.99924892186182956</v>
      </c>
      <c r="T374" s="602">
        <v>0.99972716848740317</v>
      </c>
      <c r="U374" s="603">
        <f t="shared" si="218"/>
        <v>0.99921754665599549</v>
      </c>
      <c r="V374" s="604">
        <f t="shared" si="219"/>
        <v>0.99921754665599549</v>
      </c>
      <c r="W374" s="602">
        <v>0.99965786276056878</v>
      </c>
      <c r="X374" s="603">
        <f t="shared" si="220"/>
        <v>0.99911923984742357</v>
      </c>
      <c r="Y374" s="604">
        <f t="shared" si="221"/>
        <v>0.99911923984742357</v>
      </c>
      <c r="Z374" s="602">
        <v>0.99982781091053496</v>
      </c>
      <c r="AA374" s="603">
        <f t="shared" si="222"/>
        <v>0.99984281391377028</v>
      </c>
      <c r="AB374" s="604">
        <f t="shared" si="223"/>
        <v>0.99984281391377028</v>
      </c>
      <c r="AC374" s="602">
        <v>0.9997037482914809</v>
      </c>
      <c r="AD374" s="603">
        <f t="shared" si="224"/>
        <v>0.99959325321926951</v>
      </c>
      <c r="AE374" s="604">
        <f t="shared" si="225"/>
        <v>0.99959325321926951</v>
      </c>
    </row>
    <row r="375" spans="1:31" x14ac:dyDescent="0.2">
      <c r="A375" s="568" t="s">
        <v>1045</v>
      </c>
      <c r="B375" s="595"/>
      <c r="C375" s="602">
        <v>0.99973825521319293</v>
      </c>
      <c r="D375" s="603">
        <f t="shared" si="208"/>
        <v>0.99906697987493565</v>
      </c>
      <c r="E375" s="604">
        <f t="shared" si="209"/>
        <v>0.99906697987493565</v>
      </c>
      <c r="F375" s="602">
        <v>0.99966107012021688</v>
      </c>
      <c r="G375" s="603">
        <f t="shared" si="210"/>
        <v>0.99888572086790361</v>
      </c>
      <c r="H375" s="604">
        <f t="shared" si="211"/>
        <v>0.99888572086790361</v>
      </c>
      <c r="I375" s="602">
        <v>0.99961939195423755</v>
      </c>
      <c r="J375" s="603">
        <f t="shared" si="212"/>
        <v>0.99875593338416102</v>
      </c>
      <c r="K375" s="604">
        <f t="shared" si="213"/>
        <v>0.99875593338416102</v>
      </c>
      <c r="L375" s="602">
        <v>0.99961939195423755</v>
      </c>
      <c r="M375" s="603">
        <f t="shared" si="214"/>
        <v>0.99875593338416102</v>
      </c>
      <c r="N375" s="604">
        <f t="shared" si="215"/>
        <v>0.99875593338416102</v>
      </c>
      <c r="O375" s="568" t="s">
        <v>1045</v>
      </c>
      <c r="P375" s="595"/>
      <c r="Q375" s="602">
        <v>0.99979631606323827</v>
      </c>
      <c r="R375" s="603">
        <f t="shared" si="216"/>
        <v>0.99945249428047089</v>
      </c>
      <c r="S375" s="604">
        <f t="shared" si="217"/>
        <v>0.99945249428047089</v>
      </c>
      <c r="T375" s="602">
        <v>0.99978115433542791</v>
      </c>
      <c r="U375" s="603">
        <f t="shared" si="218"/>
        <v>0.99943626895047144</v>
      </c>
      <c r="V375" s="604">
        <f t="shared" si="219"/>
        <v>0.99943626895047144</v>
      </c>
      <c r="W375" s="602">
        <v>0.99974860788516395</v>
      </c>
      <c r="X375" s="603">
        <f t="shared" si="220"/>
        <v>0.99937047370431276</v>
      </c>
      <c r="Y375" s="604">
        <f t="shared" si="221"/>
        <v>0.99937047370431276</v>
      </c>
      <c r="Z375" s="602">
        <v>0.99994859912973877</v>
      </c>
      <c r="AA375" s="603">
        <f t="shared" si="222"/>
        <v>0.9998942093462998</v>
      </c>
      <c r="AB375" s="604">
        <f t="shared" si="223"/>
        <v>0.9998942093462998</v>
      </c>
      <c r="AC375" s="602">
        <v>0.99977350100248952</v>
      </c>
      <c r="AD375" s="603">
        <f t="shared" si="224"/>
        <v>0.99981971138158865</v>
      </c>
      <c r="AE375" s="604">
        <f t="shared" si="225"/>
        <v>0.99981971138158865</v>
      </c>
    </row>
    <row r="376" spans="1:31" x14ac:dyDescent="0.2">
      <c r="A376" s="568" t="s">
        <v>1046</v>
      </c>
      <c r="B376" s="595"/>
      <c r="C376" s="602">
        <v>0.99974466728572287</v>
      </c>
      <c r="D376" s="603">
        <f t="shared" si="208"/>
        <v>0.99932213950925375</v>
      </c>
      <c r="E376" s="604">
        <f t="shared" si="209"/>
        <v>0.99932213950925375</v>
      </c>
      <c r="F376" s="602">
        <v>0.99968444097837184</v>
      </c>
      <c r="G376" s="603">
        <f t="shared" si="210"/>
        <v>0.99920102776663555</v>
      </c>
      <c r="H376" s="604">
        <f t="shared" si="211"/>
        <v>0.99920102776663555</v>
      </c>
      <c r="I376" s="602">
        <v>0.99968444097837184</v>
      </c>
      <c r="J376" s="603">
        <f t="shared" si="212"/>
        <v>0.99907119931435351</v>
      </c>
      <c r="K376" s="604">
        <f t="shared" si="213"/>
        <v>0.99907119931435351</v>
      </c>
      <c r="L376" s="602">
        <v>0.99968444097837184</v>
      </c>
      <c r="M376" s="603">
        <f t="shared" si="214"/>
        <v>0.99907119931435351</v>
      </c>
      <c r="N376" s="604">
        <f t="shared" si="215"/>
        <v>0.99907119931435351</v>
      </c>
      <c r="O376" s="568" t="s">
        <v>1046</v>
      </c>
      <c r="P376" s="595"/>
      <c r="Q376" s="602">
        <v>0.9998025628086683</v>
      </c>
      <c r="R376" s="603">
        <f t="shared" si="216"/>
        <v>0.99964986234160669</v>
      </c>
      <c r="S376" s="604">
        <f t="shared" si="217"/>
        <v>0.99964986234160669</v>
      </c>
      <c r="T376" s="602">
        <v>0.9998025628086683</v>
      </c>
      <c r="U376" s="603">
        <f t="shared" si="218"/>
        <v>0.99963363380749104</v>
      </c>
      <c r="V376" s="604">
        <f t="shared" si="219"/>
        <v>0.99963363380749104</v>
      </c>
      <c r="W376" s="602">
        <v>0.99978989445000432</v>
      </c>
      <c r="X376" s="603">
        <f t="shared" si="220"/>
        <v>0.99958049111316305</v>
      </c>
      <c r="Y376" s="604">
        <f t="shared" si="221"/>
        <v>0.99958049111316305</v>
      </c>
      <c r="Z376" s="602">
        <v>0.9999701269834792</v>
      </c>
      <c r="AA376" s="603">
        <f t="shared" si="222"/>
        <v>0.999924080094864</v>
      </c>
      <c r="AB376" s="604">
        <f t="shared" si="223"/>
        <v>0.999924080094864</v>
      </c>
      <c r="AC376" s="602">
        <v>0.99992806525381595</v>
      </c>
      <c r="AD376" s="603">
        <f t="shared" si="224"/>
        <v>0.9998916383328037</v>
      </c>
      <c r="AE376" s="604">
        <f t="shared" si="225"/>
        <v>0.9998916383328037</v>
      </c>
    </row>
    <row r="377" spans="1:31" x14ac:dyDescent="0.2">
      <c r="A377" s="568" t="s">
        <v>1047</v>
      </c>
      <c r="B377" s="595"/>
      <c r="C377" s="602">
        <v>0.99976950067543069</v>
      </c>
      <c r="D377" s="603">
        <f t="shared" si="208"/>
        <v>0.9995525356936027</v>
      </c>
      <c r="E377" s="604">
        <f t="shared" si="209"/>
        <v>0.9995525356936027</v>
      </c>
      <c r="F377" s="602">
        <v>0.99968782134690559</v>
      </c>
      <c r="G377" s="603">
        <f t="shared" si="210"/>
        <v>0.99951305440571026</v>
      </c>
      <c r="H377" s="604">
        <f t="shared" si="211"/>
        <v>0.99951305440571026</v>
      </c>
      <c r="I377" s="602">
        <v>0.99970214569300553</v>
      </c>
      <c r="J377" s="603">
        <f t="shared" si="212"/>
        <v>0.99936886563525917</v>
      </c>
      <c r="K377" s="604">
        <f t="shared" si="213"/>
        <v>0.99936886563525917</v>
      </c>
      <c r="L377" s="602">
        <v>0.99970214569300553</v>
      </c>
      <c r="M377" s="603">
        <f t="shared" si="214"/>
        <v>0.99936886563525917</v>
      </c>
      <c r="N377" s="604">
        <f t="shared" si="215"/>
        <v>0.99936886563525917</v>
      </c>
      <c r="O377" s="568" t="s">
        <v>1047</v>
      </c>
      <c r="P377" s="595"/>
      <c r="Q377" s="602">
        <v>0.9998937200189898</v>
      </c>
      <c r="R377" s="603">
        <f t="shared" si="216"/>
        <v>0.99975611640267281</v>
      </c>
      <c r="S377" s="604">
        <f t="shared" si="217"/>
        <v>0.99975611640267281</v>
      </c>
      <c r="T377" s="602">
        <v>0.99984187673394687</v>
      </c>
      <c r="U377" s="603">
        <f t="shared" si="218"/>
        <v>0.99979172414028494</v>
      </c>
      <c r="V377" s="604">
        <f t="shared" si="219"/>
        <v>0.99979172414028494</v>
      </c>
      <c r="W377" s="602">
        <v>0.99982080394120576</v>
      </c>
      <c r="X377" s="603">
        <f t="shared" si="220"/>
        <v>0.9997596441011275</v>
      </c>
      <c r="Y377" s="604">
        <f t="shared" si="221"/>
        <v>0.9997596441011275</v>
      </c>
      <c r="Z377" s="602">
        <v>0.99997191502411409</v>
      </c>
      <c r="AA377" s="603">
        <f t="shared" si="222"/>
        <v>0.99995216372726936</v>
      </c>
      <c r="AB377" s="604">
        <f t="shared" si="223"/>
        <v>0.99995216372726936</v>
      </c>
      <c r="AC377" s="602">
        <v>0.99994859912973877</v>
      </c>
      <c r="AD377" s="603">
        <f t="shared" si="224"/>
        <v>0.99994303627507986</v>
      </c>
      <c r="AE377" s="604">
        <f t="shared" si="225"/>
        <v>0.99994303627507986</v>
      </c>
    </row>
    <row r="378" spans="1:31" x14ac:dyDescent="0.2">
      <c r="A378" s="568" t="s">
        <v>1048</v>
      </c>
      <c r="B378" s="595"/>
      <c r="C378" s="602">
        <v>0.9997791440593734</v>
      </c>
      <c r="D378" s="603">
        <f t="shared" si="208"/>
        <v>0.99977334157536968</v>
      </c>
      <c r="E378" s="604">
        <f t="shared" si="209"/>
        <v>0.99977334157536968</v>
      </c>
      <c r="F378" s="602">
        <v>0.99974127537845336</v>
      </c>
      <c r="G378" s="603">
        <f t="shared" si="210"/>
        <v>0.99977171996559133</v>
      </c>
      <c r="H378" s="604">
        <f t="shared" si="211"/>
        <v>0.99977171996559133</v>
      </c>
      <c r="I378" s="602">
        <v>0.99974127537845336</v>
      </c>
      <c r="J378" s="603">
        <f t="shared" si="212"/>
        <v>0.99962749388030092</v>
      </c>
      <c r="K378" s="604">
        <f t="shared" si="213"/>
        <v>0.99962749388030092</v>
      </c>
      <c r="L378" s="602">
        <v>0.99974127537845336</v>
      </c>
      <c r="M378" s="603">
        <f t="shared" si="214"/>
        <v>0.99962749388030092</v>
      </c>
      <c r="N378" s="604">
        <f t="shared" si="215"/>
        <v>0.99962749388030092</v>
      </c>
      <c r="O378" s="568" t="s">
        <v>1048</v>
      </c>
      <c r="P378" s="595"/>
      <c r="Q378" s="602">
        <v>0.99991113499134743</v>
      </c>
      <c r="R378" s="603">
        <f t="shared" si="216"/>
        <v>0.99984496763437292</v>
      </c>
      <c r="S378" s="604">
        <f t="shared" si="217"/>
        <v>0.99984496763437292</v>
      </c>
      <c r="T378" s="602">
        <v>0.99992351642308286</v>
      </c>
      <c r="U378" s="603">
        <f t="shared" si="218"/>
        <v>0.99986819763648582</v>
      </c>
      <c r="V378" s="604">
        <f t="shared" si="219"/>
        <v>0.99986819763648582</v>
      </c>
      <c r="W378" s="602">
        <v>0.99985829335865306</v>
      </c>
      <c r="X378" s="603">
        <f t="shared" si="220"/>
        <v>0.99990133676123827</v>
      </c>
      <c r="Y378" s="604">
        <f t="shared" si="221"/>
        <v>0.99990133676123827</v>
      </c>
      <c r="Z378" s="602">
        <v>0.99997841609167282</v>
      </c>
      <c r="AA378" s="603">
        <f t="shared" si="222"/>
        <v>0.9999737470689557</v>
      </c>
      <c r="AB378" s="604">
        <f t="shared" si="223"/>
        <v>0.9999737470689557</v>
      </c>
      <c r="AC378" s="602">
        <v>0.9999701269834792</v>
      </c>
      <c r="AD378" s="603">
        <f t="shared" si="224"/>
        <v>0.99997290848229525</v>
      </c>
      <c r="AE378" s="604">
        <f t="shared" si="225"/>
        <v>0.99997290848229525</v>
      </c>
    </row>
    <row r="379" spans="1:31" x14ac:dyDescent="0.2">
      <c r="A379" s="568" t="s">
        <v>1049</v>
      </c>
      <c r="B379" s="595"/>
      <c r="C379" s="602">
        <v>0.99985104393739188</v>
      </c>
      <c r="D379" s="603">
        <f t="shared" si="208"/>
        <v>0.99992228606201561</v>
      </c>
      <c r="E379" s="604">
        <f t="shared" si="209"/>
        <v>0.99992228606201561</v>
      </c>
      <c r="F379" s="602">
        <v>0.99985466864802242</v>
      </c>
      <c r="G379" s="603">
        <f t="shared" si="210"/>
        <v>0.99991703926077258</v>
      </c>
      <c r="H379" s="604">
        <f t="shared" si="211"/>
        <v>0.99991703926077258</v>
      </c>
      <c r="I379" s="602">
        <v>0.999750200752204</v>
      </c>
      <c r="J379" s="603">
        <f t="shared" si="212"/>
        <v>0.99987726246835384</v>
      </c>
      <c r="K379" s="604">
        <f t="shared" si="213"/>
        <v>0.99987726246835384</v>
      </c>
      <c r="L379" s="602">
        <v>0.999750200752204</v>
      </c>
      <c r="M379" s="603">
        <f t="shared" si="214"/>
        <v>0.99987726246835384</v>
      </c>
      <c r="N379" s="604">
        <f t="shared" si="215"/>
        <v>0.99987726246835384</v>
      </c>
      <c r="O379" s="568" t="s">
        <v>1049</v>
      </c>
      <c r="P379" s="595"/>
      <c r="Q379" s="602">
        <v>0.99991139180091904</v>
      </c>
      <c r="R379" s="603">
        <f t="shared" si="216"/>
        <v>0.9999335699472065</v>
      </c>
      <c r="S379" s="604">
        <f t="shared" si="217"/>
        <v>0.9999335699472065</v>
      </c>
      <c r="T379" s="602">
        <v>0.99993462334630479</v>
      </c>
      <c r="U379" s="603">
        <f t="shared" si="218"/>
        <v>0.9999335699472065</v>
      </c>
      <c r="V379" s="604">
        <f t="shared" si="219"/>
        <v>0.9999335699472065</v>
      </c>
      <c r="W379" s="602">
        <v>0.99994116490819029</v>
      </c>
      <c r="X379" s="603">
        <f t="shared" si="220"/>
        <v>0.99996016950961741</v>
      </c>
      <c r="Y379" s="604">
        <f t="shared" si="221"/>
        <v>0.99996016950961741</v>
      </c>
      <c r="Z379" s="602">
        <v>0.99998370467802111</v>
      </c>
      <c r="AA379" s="603">
        <f t="shared" si="222"/>
        <v>0.9999900422286695</v>
      </c>
      <c r="AB379" s="604">
        <f t="shared" si="223"/>
        <v>0.9999900422286695</v>
      </c>
      <c r="AC379" s="602">
        <v>0.99998286608301012</v>
      </c>
      <c r="AD379" s="603">
        <f t="shared" si="224"/>
        <v>0.9999900422286695</v>
      </c>
      <c r="AE379" s="604">
        <f t="shared" si="225"/>
        <v>0.9999900422286695</v>
      </c>
    </row>
    <row r="380" spans="1:31" x14ac:dyDescent="0.2">
      <c r="A380" s="568" t="s">
        <v>1050</v>
      </c>
      <c r="B380" s="595"/>
      <c r="C380" s="602">
        <v>0.99993722163258647</v>
      </c>
      <c r="D380" s="603">
        <f t="shared" si="208"/>
        <v>0.99998506349173955</v>
      </c>
      <c r="E380" s="605">
        <f>MAX(MIN(SUMPRODUCT(D375:D385,$G$329:$G$339),$E$275),MIN(D380,$E$275))</f>
        <v>0.99998506349173955</v>
      </c>
      <c r="F380" s="602">
        <v>0.99993722163258647</v>
      </c>
      <c r="G380" s="603">
        <f t="shared" si="210"/>
        <v>0.99997981636109023</v>
      </c>
      <c r="H380" s="605">
        <f>MAX(MIN(SUMPRODUCT(G375:G385,$G$329:$G$339),$E$275),MIN(G380,$E$275))</f>
        <v>0.99997981636109023</v>
      </c>
      <c r="I380" s="602">
        <v>0.99993722163258647</v>
      </c>
      <c r="J380" s="603">
        <f t="shared" si="212"/>
        <v>0.99994003707139256</v>
      </c>
      <c r="K380" s="605">
        <f>MAX(MIN(SUMPRODUCT(J375:J385,$G$329:$G$339),$E$275),MIN(J380,$E$275))</f>
        <v>0.99994003707139256</v>
      </c>
      <c r="L380" s="602">
        <v>0.99993722163258647</v>
      </c>
      <c r="M380" s="603">
        <f t="shared" si="214"/>
        <v>0.99994003707139256</v>
      </c>
      <c r="N380" s="605">
        <f>MAX(MIN(SUMPRODUCT(M375:M385,$G$329:$G$339),$E$275),MIN(M380,$E$275))</f>
        <v>0.99994003707139256</v>
      </c>
      <c r="O380" s="568" t="s">
        <v>1050</v>
      </c>
      <c r="P380" s="595"/>
      <c r="Q380" s="602">
        <v>0.9999702447948855</v>
      </c>
      <c r="R380" s="603">
        <f t="shared" si="216"/>
        <v>0.99996332406102095</v>
      </c>
      <c r="S380" s="605">
        <f>MAX(MIN(SUMPRODUCT(R375:R385,$G$329:$G$339),$E$275),MIN(R380,$E$275))</f>
        <v>0.99996332406102095</v>
      </c>
      <c r="T380" s="602">
        <v>0.9999702447948855</v>
      </c>
      <c r="U380" s="603">
        <f t="shared" si="218"/>
        <v>0.99996332406102095</v>
      </c>
      <c r="V380" s="605">
        <f>MAX(MIN(SUMPRODUCT(U375:U385,$G$329:$G$339),$E$275),MIN(U380,$E$275))</f>
        <v>0.99996332406102095</v>
      </c>
      <c r="W380" s="602">
        <v>0.9999701269834792</v>
      </c>
      <c r="X380" s="603">
        <f t="shared" si="220"/>
        <v>0.9999900422286695</v>
      </c>
      <c r="Y380" s="605">
        <f>MAX(MIN(SUMPRODUCT(X375:X385,$G$329:$G$339),$E$275),MIN(X380,$E$275))</f>
        <v>0.9999900422286695</v>
      </c>
      <c r="Z380" s="602">
        <v>0.9999900422286695</v>
      </c>
      <c r="AA380" s="603">
        <f t="shared" si="222"/>
        <v>1</v>
      </c>
      <c r="AB380" s="605">
        <f>MAX(MIN(SUMPRODUCT(AA375:AA385,$G$329:$G$339),$E$275),MIN(AA380,$E$275))</f>
        <v>1</v>
      </c>
      <c r="AC380" s="602">
        <v>0.9999900422286695</v>
      </c>
      <c r="AD380" s="603">
        <f t="shared" si="224"/>
        <v>1</v>
      </c>
      <c r="AE380" s="605">
        <f>MAX(MIN(SUMPRODUCT(AD375:AD385,$G$329:$G$339),$E$275),MIN(AD380,$E$275))</f>
        <v>1</v>
      </c>
    </row>
    <row r="381" spans="1:31" x14ac:dyDescent="0.2">
      <c r="A381" s="568" t="s">
        <v>1051</v>
      </c>
      <c r="B381" s="595"/>
      <c r="C381" s="602">
        <v>0.99998506349173955</v>
      </c>
      <c r="D381" s="603">
        <f t="shared" si="208"/>
        <v>1</v>
      </c>
      <c r="E381" s="605">
        <f>MAX(MIN(SUMPRODUCT(D376:D386,$G$329:$G$339),$E$275),MIN(D381,$E$275))</f>
        <v>1</v>
      </c>
      <c r="F381" s="602">
        <v>0.99998506349173955</v>
      </c>
      <c r="G381" s="603">
        <f t="shared" si="210"/>
        <v>0.99999475279097572</v>
      </c>
      <c r="H381" s="605">
        <f>MAX(MIN(SUMPRODUCT(G376:G386,$G$329:$G$339),$E$275),MIN(G381,$E$275))</f>
        <v>0.99999475279097572</v>
      </c>
      <c r="I381" s="602">
        <v>0.99995497290710544</v>
      </c>
      <c r="J381" s="603">
        <f t="shared" si="212"/>
        <v>0.99998506349173955</v>
      </c>
      <c r="K381" s="605">
        <f>MAX(MIN(SUMPRODUCT(J376:J386,$G$329:$G$339),$E$275),MIN(J381,$E$275))</f>
        <v>0.99998506349173955</v>
      </c>
      <c r="L381" s="602">
        <v>0.99995497290710544</v>
      </c>
      <c r="M381" s="603">
        <f t="shared" si="214"/>
        <v>0.99998506349173955</v>
      </c>
      <c r="N381" s="605">
        <f>MAX(MIN(SUMPRODUCT(M376:M386,$G$329:$G$339),$E$275),MIN(M381,$E$275))</f>
        <v>0.99998506349173955</v>
      </c>
      <c r="O381" s="568" t="s">
        <v>1051</v>
      </c>
      <c r="P381" s="595"/>
      <c r="Q381" s="602">
        <v>0.9999832390219906</v>
      </c>
      <c r="R381" s="603">
        <f t="shared" si="216"/>
        <v>0.99998008470523059</v>
      </c>
      <c r="S381" s="605">
        <f>MAX(MIN(SUMPRODUCT(R376:R386,$G$329:$G$339),$E$275),MIN(R381,$E$275))</f>
        <v>0.99998008470523059</v>
      </c>
      <c r="T381" s="602">
        <v>0.9999832390219906</v>
      </c>
      <c r="U381" s="603">
        <f t="shared" si="218"/>
        <v>0.99998008470523059</v>
      </c>
      <c r="V381" s="605">
        <f>MAX(MIN(SUMPRODUCT(U376:U386,$G$329:$G$339),$E$275),MIN(U381,$E$275))</f>
        <v>0.99998008470523059</v>
      </c>
      <c r="W381" s="602">
        <v>0.9999900422286695</v>
      </c>
      <c r="X381" s="603">
        <f t="shared" si="220"/>
        <v>1</v>
      </c>
      <c r="Y381" s="605">
        <f>MAX(MIN(SUMPRODUCT(X376:X386,$G$329:$G$339),$E$275),MIN(X381,$E$275))</f>
        <v>1</v>
      </c>
      <c r="Z381" s="602">
        <v>1</v>
      </c>
      <c r="AA381" s="603">
        <f t="shared" si="222"/>
        <v>1</v>
      </c>
      <c r="AB381" s="605">
        <f>MAX(MIN(SUMPRODUCT(AA376:AA386,$G$329:$G$339),$E$275),MIN(AA381,$E$275))</f>
        <v>1</v>
      </c>
      <c r="AC381" s="602">
        <v>1</v>
      </c>
      <c r="AD381" s="603">
        <f t="shared" si="224"/>
        <v>1</v>
      </c>
      <c r="AE381" s="605">
        <f>MAX(MIN(SUMPRODUCT(AD376:AD386,$G$329:$G$339),$E$275),MIN(AD381,$E$275))</f>
        <v>1</v>
      </c>
    </row>
    <row r="382" spans="1:31" x14ac:dyDescent="0.2">
      <c r="A382" s="568" t="s">
        <v>1052</v>
      </c>
      <c r="B382" s="595"/>
      <c r="C382" s="602">
        <v>1</v>
      </c>
      <c r="D382" s="603">
        <f t="shared" si="208"/>
        <v>1</v>
      </c>
      <c r="E382" s="605">
        <f>MAX(MIN(SUMPRODUCT(D377:D387,$G$329:$G$339),$E$275),MIN(D382,$E$275))</f>
        <v>1</v>
      </c>
      <c r="F382" s="602">
        <v>0.99999475279097572</v>
      </c>
      <c r="G382" s="603">
        <f t="shared" si="210"/>
        <v>1</v>
      </c>
      <c r="H382" s="605">
        <f>MAX(MIN(SUMPRODUCT(G377:G387,$G$329:$G$339),$E$275),MIN(G382,$E$275))</f>
        <v>1</v>
      </c>
      <c r="I382" s="602">
        <v>0.99998506349173955</v>
      </c>
      <c r="J382" s="603">
        <f t="shared" si="212"/>
        <v>1</v>
      </c>
      <c r="K382" s="605">
        <f>MAX(MIN(SUMPRODUCT(J377:J387,$G$329:$G$339),$E$275),MIN(J382,$E$275))</f>
        <v>1</v>
      </c>
      <c r="L382" s="602">
        <v>0.99998506349173955</v>
      </c>
      <c r="M382" s="603">
        <f t="shared" si="214"/>
        <v>1</v>
      </c>
      <c r="N382" s="605">
        <f>MAX(MIN(SUMPRODUCT(M377:M387,$G$329:$G$339),$E$275),MIN(M382,$E$275))</f>
        <v>1</v>
      </c>
      <c r="O382" s="568" t="s">
        <v>1052</v>
      </c>
      <c r="P382" s="595"/>
      <c r="Q382" s="602">
        <v>0.99998506349173955</v>
      </c>
      <c r="R382" s="603">
        <f t="shared" si="216"/>
        <v>0.9999950211391242</v>
      </c>
      <c r="S382" s="605">
        <f>MAX(MIN(SUMPRODUCT(R377:R387,$G$329:$G$339),$E$275),MIN(R382,$E$275))</f>
        <v>0.9999950211391242</v>
      </c>
      <c r="T382" s="602">
        <v>0.99998506349173955</v>
      </c>
      <c r="U382" s="603">
        <f t="shared" si="218"/>
        <v>0.9999950211391242</v>
      </c>
      <c r="V382" s="605">
        <f>MAX(MIN(SUMPRODUCT(U377:U387,$G$329:$G$339),$E$275),MIN(U382,$E$275))</f>
        <v>0.9999950211391242</v>
      </c>
      <c r="W382" s="602">
        <v>1</v>
      </c>
      <c r="X382" s="603">
        <f t="shared" si="220"/>
        <v>1</v>
      </c>
      <c r="Y382" s="605">
        <f>MAX(MIN(SUMPRODUCT(X377:X387,$G$329:$G$339),$E$275),MIN(X382,$E$275))</f>
        <v>1</v>
      </c>
      <c r="Z382" s="602">
        <v>1</v>
      </c>
      <c r="AA382" s="603">
        <f t="shared" si="222"/>
        <v>1</v>
      </c>
      <c r="AB382" s="605">
        <f>MAX(MIN(SUMPRODUCT(AA377:AA387,$G$329:$G$339),$E$275),MIN(AA382,$E$275))</f>
        <v>1</v>
      </c>
      <c r="AC382" s="602">
        <v>1</v>
      </c>
      <c r="AD382" s="603">
        <f t="shared" si="224"/>
        <v>1</v>
      </c>
      <c r="AE382" s="605">
        <f>MAX(MIN(SUMPRODUCT(AD377:AD387,$G$329:$G$339),$E$275),MIN(AD382,$E$275))</f>
        <v>1</v>
      </c>
    </row>
    <row r="383" spans="1:31" x14ac:dyDescent="0.2">
      <c r="A383" s="568" t="s">
        <v>1053</v>
      </c>
      <c r="B383" s="595"/>
      <c r="C383" s="602">
        <v>1</v>
      </c>
      <c r="D383" s="606">
        <f>C384*D385</f>
        <v>1</v>
      </c>
      <c r="E383" s="607">
        <f>MAX(MIN(SUMPRODUCT(A378:A388,$G$237:$G$247),$E$203),MIN(D383,$E$203))</f>
        <v>0.99904689388346535</v>
      </c>
      <c r="F383" s="602">
        <v>1</v>
      </c>
      <c r="G383" s="606">
        <f>F384*G385</f>
        <v>1</v>
      </c>
      <c r="H383" s="607">
        <f>MAX(MIN(SUMPRODUCT(D378:D388,$G$237:$G$247),$E$203),MIN(G383,$E$203))</f>
        <v>0.99904689388346535</v>
      </c>
      <c r="I383" s="602">
        <v>1</v>
      </c>
      <c r="J383" s="606">
        <f>I384*J385</f>
        <v>1</v>
      </c>
      <c r="K383" s="607">
        <f>MAX(MIN(SUMPRODUCT(G378:G388,$G$237:$G$247),$E$203),MIN(J383,$E$203))</f>
        <v>0.99904689388346535</v>
      </c>
      <c r="L383" s="602">
        <v>1</v>
      </c>
      <c r="M383" s="606">
        <f>L384*M385</f>
        <v>1</v>
      </c>
      <c r="N383" s="607">
        <f>MAX(MIN(SUMPRODUCT(J378:J388,$G$237:$G$247),$E$203),MIN(M383,$E$203))</f>
        <v>0.99904689388346535</v>
      </c>
      <c r="O383" s="568" t="s">
        <v>1053</v>
      </c>
      <c r="P383" s="595"/>
      <c r="Q383" s="602">
        <v>0.9999950211391242</v>
      </c>
      <c r="R383" s="606">
        <f>Q384*R385</f>
        <v>1</v>
      </c>
      <c r="S383" s="607">
        <f>MAX(MIN(SUMPRODUCT(O378:O388,$G$237:$G$247),$E$203),MIN(R383,$E$203))</f>
        <v>0.99904689388346535</v>
      </c>
      <c r="T383" s="602">
        <v>0.9999950211391242</v>
      </c>
      <c r="U383" s="606">
        <f>T384*U385</f>
        <v>1</v>
      </c>
      <c r="V383" s="607">
        <f>MAX(MIN(SUMPRODUCT(R378:R388,$G$237:$G$247),$E$203),MIN(U383,$E$203))</f>
        <v>0.99904689388346535</v>
      </c>
      <c r="W383" s="602">
        <v>1</v>
      </c>
      <c r="X383" s="606">
        <f>W384*X385</f>
        <v>1</v>
      </c>
      <c r="Y383" s="607">
        <f>MAX(MIN(SUMPRODUCT(U378:U388,$G$237:$G$247),$E$203),MIN(X383,$E$203))</f>
        <v>0.99904689388346535</v>
      </c>
      <c r="Z383" s="602">
        <v>1</v>
      </c>
      <c r="AA383" s="606">
        <f>Z384*AA385</f>
        <v>1</v>
      </c>
      <c r="AB383" s="607">
        <f>MAX(MIN(SUMPRODUCT(X378:X388,$G$237:$G$247),$E$203),MIN(AA383,$E$203))</f>
        <v>0.99904689388346535</v>
      </c>
      <c r="AC383" s="602">
        <v>1</v>
      </c>
      <c r="AD383" s="606">
        <f>AC384*AD385</f>
        <v>1</v>
      </c>
      <c r="AE383" s="607">
        <f>MAX(MIN(SUMPRODUCT(AA378:AA388,$G$237:$G$247),$E$203),MIN(AD383,$E$203))</f>
        <v>0.99904689388346535</v>
      </c>
    </row>
    <row r="384" spans="1:31" x14ac:dyDescent="0.2">
      <c r="A384" s="568" t="s">
        <v>1054</v>
      </c>
      <c r="B384" s="595"/>
      <c r="C384" s="602">
        <v>1</v>
      </c>
      <c r="D384" s="603"/>
      <c r="E384" s="608"/>
      <c r="F384" s="602">
        <v>1</v>
      </c>
      <c r="G384" s="603"/>
      <c r="H384" s="608"/>
      <c r="I384" s="602">
        <v>1</v>
      </c>
      <c r="J384" s="603"/>
      <c r="K384" s="608"/>
      <c r="L384" s="602">
        <v>1</v>
      </c>
      <c r="M384" s="603"/>
      <c r="N384" s="608"/>
      <c r="O384" s="568" t="s">
        <v>1054</v>
      </c>
      <c r="P384" s="595"/>
      <c r="Q384" s="602">
        <v>1</v>
      </c>
      <c r="R384" s="603"/>
      <c r="S384" s="608"/>
      <c r="T384" s="602">
        <v>1</v>
      </c>
      <c r="U384" s="603"/>
      <c r="V384" s="608"/>
      <c r="W384" s="602">
        <v>1</v>
      </c>
      <c r="X384" s="603"/>
      <c r="Y384" s="608"/>
      <c r="Z384" s="602">
        <v>1</v>
      </c>
      <c r="AA384" s="603"/>
      <c r="AB384" s="608"/>
      <c r="AC384" s="602">
        <v>1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0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1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Allied Pacific (APC Medicare)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1429182.7499999988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1196878.9899999981</v>
      </c>
      <c r="AO467" s="51">
        <f>+AJ479</f>
        <v>2593082.5199999921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306998.1199999997</v>
      </c>
      <c r="AO468" s="51">
        <f>+AI479</f>
        <v>1237378.9799999997</v>
      </c>
      <c r="AP468" s="51">
        <f>+AI480</f>
        <v>3597147.7499999944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136946.48000000001</v>
      </c>
      <c r="AO469" s="51">
        <f>+AH479</f>
        <v>411612.38999999978</v>
      </c>
      <c r="AP469" s="51">
        <f>+AH480</f>
        <v>1689630.4599999972</v>
      </c>
      <c r="AQ469" s="51">
        <f>+AH481</f>
        <v>4217649.9999999991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35030.54</v>
      </c>
      <c r="AO470" s="51">
        <f>+AG479</f>
        <v>158543.65</v>
      </c>
      <c r="AP470" s="51">
        <f>+AG480</f>
        <v>577934.33000000007</v>
      </c>
      <c r="AQ470" s="51">
        <f>+AG481</f>
        <v>1663776.61</v>
      </c>
      <c r="AR470" s="51">
        <f>+AG482</f>
        <v>4317339.2300000051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22227.510000000002</v>
      </c>
      <c r="AO471" s="51">
        <f>+AF479</f>
        <v>47837.84</v>
      </c>
      <c r="AP471" s="51">
        <f>+AF480</f>
        <v>176601.68999999997</v>
      </c>
      <c r="AQ471" s="51">
        <f>+AF481</f>
        <v>533083.16000000061</v>
      </c>
      <c r="AR471" s="51">
        <f>+AF482</f>
        <v>1498172.6200000008</v>
      </c>
      <c r="AS471" s="51">
        <f>+AF483</f>
        <v>4213720.3099999968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12</v>
      </c>
      <c r="G472" s="2">
        <f>Final!D72</f>
        <v>2022</v>
      </c>
      <c r="H472" s="187">
        <f>+(12*G471+F471)-(12*G472+F472)</f>
        <v>15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29140.390000000003</v>
      </c>
      <c r="AO472" s="51">
        <f>+AE479</f>
        <v>56016.430000000015</v>
      </c>
      <c r="AP472" s="51">
        <f>+AE480</f>
        <v>105752.57000000002</v>
      </c>
      <c r="AQ472" s="51">
        <f>+AE481</f>
        <v>183870.76000000007</v>
      </c>
      <c r="AR472" s="51">
        <f>+AE482</f>
        <v>504629.95000000054</v>
      </c>
      <c r="AS472" s="51">
        <f>+AE483</f>
        <v>1507997.18</v>
      </c>
      <c r="AT472" s="51">
        <f>+AE484</f>
        <v>4216334.4900000133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18846.36</v>
      </c>
      <c r="AO473" s="51">
        <f>+AD479</f>
        <v>44793.919999999998</v>
      </c>
      <c r="AP473" s="51">
        <f>+AD480</f>
        <v>92460.42</v>
      </c>
      <c r="AQ473" s="51">
        <f>+AD481</f>
        <v>119045.36</v>
      </c>
      <c r="AR473" s="51">
        <f>+AD482</f>
        <v>222100.05</v>
      </c>
      <c r="AS473" s="51">
        <f>+AD483</f>
        <v>556875.28000000026</v>
      </c>
      <c r="AT473" s="51">
        <f>+AD484</f>
        <v>1543793.3399999992</v>
      </c>
      <c r="AU473" s="51">
        <f>+AD485</f>
        <v>3859375.0999999843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34768.660000000003</v>
      </c>
      <c r="AO474" s="51">
        <f>+AC479</f>
        <v>55844.850000000006</v>
      </c>
      <c r="AP474" s="51">
        <f>+AC480</f>
        <v>96933.420000000013</v>
      </c>
      <c r="AQ474" s="51">
        <f>+AC481</f>
        <v>119034.65000000001</v>
      </c>
      <c r="AR474" s="51">
        <f>+AC482</f>
        <v>164292.87000000002</v>
      </c>
      <c r="AS474" s="51">
        <f>+AC483</f>
        <v>282191.94</v>
      </c>
      <c r="AT474" s="51">
        <f>+AC484</f>
        <v>570174.61</v>
      </c>
      <c r="AU474" s="51">
        <f>+AC485</f>
        <v>1521176.819999997</v>
      </c>
      <c r="AV474" s="51">
        <f>+AC486</f>
        <v>3828674.0199999893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44926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28915.619999999992</v>
      </c>
      <c r="AO475" s="51">
        <f>+AB479</f>
        <v>48135.149999999987</v>
      </c>
      <c r="AP475" s="51">
        <f>+AB480</f>
        <v>93375.63</v>
      </c>
      <c r="AQ475" s="51">
        <f>+AB481</f>
        <v>121340.63</v>
      </c>
      <c r="AR475" s="51">
        <f>+AB482</f>
        <v>160094.31</v>
      </c>
      <c r="AS475" s="51">
        <f>+AB483</f>
        <v>193617.68000000002</v>
      </c>
      <c r="AT475" s="51">
        <f>+AB484</f>
        <v>298611.38999999996</v>
      </c>
      <c r="AU475" s="51">
        <f>+AB485</f>
        <v>563976.06000000006</v>
      </c>
      <c r="AV475" s="51">
        <f>+AB486</f>
        <v>1441786.8299999998</v>
      </c>
      <c r="AW475" s="51">
        <f>+AB487</f>
        <v>3920874.9699999983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14483.329999999998</v>
      </c>
      <c r="AO476" s="51">
        <f>+AA479</f>
        <v>28844.400000000001</v>
      </c>
      <c r="AP476" s="51">
        <f>+AA480</f>
        <v>55838.47</v>
      </c>
      <c r="AQ476" s="51">
        <f>+AA481</f>
        <v>82271.33</v>
      </c>
      <c r="AR476" s="51">
        <f>+AA482</f>
        <v>112375.40000000001</v>
      </c>
      <c r="AS476" s="51">
        <f>+AA483</f>
        <v>143039.04999999999</v>
      </c>
      <c r="AT476" s="51">
        <f>+AA484</f>
        <v>174534.04</v>
      </c>
      <c r="AU476" s="51">
        <f>+AA485</f>
        <v>255363.75999999998</v>
      </c>
      <c r="AV476" s="51">
        <f>+AA486</f>
        <v>490830.95000000019</v>
      </c>
      <c r="AW476" s="51">
        <f>+AA487</f>
        <v>1381595.1299999987</v>
      </c>
      <c r="AX476" s="51">
        <f>+AA488</f>
        <v>3817551.1199999978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>
        <f t="shared" ref="C477:C494" si="234">VLOOKUP($B477,$AM$486:$BD$503,$H$472+1)</f>
        <v>0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14533.269999999997</v>
      </c>
      <c r="AO477" s="51">
        <f>+Z479</f>
        <v>26723.78</v>
      </c>
      <c r="AP477" s="51">
        <f>+Z480</f>
        <v>40297.839999999997</v>
      </c>
      <c r="AQ477" s="51">
        <f>+Z481</f>
        <v>61340.969999999987</v>
      </c>
      <c r="AR477" s="51">
        <f>+Z482</f>
        <v>87738.609999999986</v>
      </c>
      <c r="AS477" s="51">
        <f>+Z483</f>
        <v>121264.54999999999</v>
      </c>
      <c r="AT477" s="51">
        <f>+Z484</f>
        <v>157217.93999999994</v>
      </c>
      <c r="AU477" s="51">
        <f>+Z485</f>
        <v>198203.90999999997</v>
      </c>
      <c r="AV477" s="51">
        <f>+Z486</f>
        <v>267226.88999999996</v>
      </c>
      <c r="AW477" s="51">
        <f>+Z487</f>
        <v>530508.57999999996</v>
      </c>
      <c r="AX477" s="51">
        <f>+Z488</f>
        <v>1485320.7599999961</v>
      </c>
      <c r="AY477" s="51">
        <f>+Z489</f>
        <v>3683698.899999992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>
        <f t="shared" si="234"/>
        <v>0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714.68999999999994</v>
      </c>
      <c r="V478" s="51">
        <f>+V24</f>
        <v>332.08000000000004</v>
      </c>
      <c r="W478" s="51">
        <f>+W23</f>
        <v>7561.64</v>
      </c>
      <c r="X478" s="51">
        <f>+X22</f>
        <v>13298.269999999999</v>
      </c>
      <c r="Y478" s="51">
        <f>+Y21</f>
        <v>12158.550000000001</v>
      </c>
      <c r="Z478" s="51">
        <f>+Z20</f>
        <v>14533.269999999997</v>
      </c>
      <c r="AA478" s="51">
        <f>+AA19</f>
        <v>14483.329999999998</v>
      </c>
      <c r="AB478" s="51">
        <f>+AB18</f>
        <v>28915.619999999992</v>
      </c>
      <c r="AC478" s="51">
        <f>+AC17</f>
        <v>34768.660000000003</v>
      </c>
      <c r="AD478" s="51">
        <f>+AD16</f>
        <v>18846.36</v>
      </c>
      <c r="AE478" s="51">
        <f>+AE15</f>
        <v>29140.390000000003</v>
      </c>
      <c r="AF478" s="51">
        <f>+AF14</f>
        <v>22227.510000000002</v>
      </c>
      <c r="AG478" s="51">
        <f>+AG13</f>
        <v>35030.54</v>
      </c>
      <c r="AH478" s="51">
        <f>+AH12</f>
        <v>136946.48000000001</v>
      </c>
      <c r="AI478" s="51">
        <f>+AI11</f>
        <v>306998.1199999997</v>
      </c>
      <c r="AJ478" s="51">
        <f>+AJ10</f>
        <v>1196878.9899999981</v>
      </c>
      <c r="AK478" s="51">
        <f>+AK9</f>
        <v>1429182.7499999988</v>
      </c>
      <c r="AL478" s="530">
        <v>0</v>
      </c>
      <c r="AM478" s="42">
        <f t="shared" si="232"/>
        <v>44958</v>
      </c>
      <c r="AN478" s="51">
        <f>+Y478</f>
        <v>12158.550000000001</v>
      </c>
      <c r="AO478" s="51">
        <f>+Y479</f>
        <v>25111.82</v>
      </c>
      <c r="AP478" s="51">
        <f>+Y480</f>
        <v>36300.699999999997</v>
      </c>
      <c r="AQ478" s="51">
        <f>+Y481</f>
        <v>55802.05</v>
      </c>
      <c r="AR478" s="51">
        <f>+Y482</f>
        <v>72286.009999999995</v>
      </c>
      <c r="AS478" s="51">
        <f>+Y483</f>
        <v>85371.03</v>
      </c>
      <c r="AT478" s="51">
        <f>+Y484</f>
        <v>120187.05000000002</v>
      </c>
      <c r="AU478" s="51">
        <f>+Y485</f>
        <v>143974.85</v>
      </c>
      <c r="AV478" s="51">
        <f>+Y486</f>
        <v>166207.04000000001</v>
      </c>
      <c r="AW478" s="51">
        <f>+Y487</f>
        <v>218442.97999999998</v>
      </c>
      <c r="AX478" s="51">
        <f>+Y488</f>
        <v>430918.98000000016</v>
      </c>
      <c r="AY478" s="51">
        <f>+Y489</f>
        <v>1115719.3299999996</v>
      </c>
      <c r="AZ478" s="51">
        <f>+Y490</f>
        <v>3442149.4299999857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>
        <f t="shared" si="234"/>
        <v>0</v>
      </c>
      <c r="D479" s="534"/>
      <c r="E479" s="156"/>
      <c r="F479" s="156"/>
      <c r="T479" s="530">
        <v>0</v>
      </c>
      <c r="U479" s="51">
        <f>SUM(U24:U$31)</f>
        <v>2632.49</v>
      </c>
      <c r="V479" s="51">
        <f>SUM(V23:V$31)</f>
        <v>898.03000000000009</v>
      </c>
      <c r="W479" s="51">
        <f>SUM(W22:W$31)</f>
        <v>10656.95</v>
      </c>
      <c r="X479" s="51">
        <f>SUM(X21:X$31)</f>
        <v>23349.89</v>
      </c>
      <c r="Y479" s="51">
        <f>SUM(Y20:Y$31)</f>
        <v>25111.82</v>
      </c>
      <c r="Z479" s="51">
        <f>SUM(Z19:Z$31)</f>
        <v>26723.78</v>
      </c>
      <c r="AA479" s="51">
        <f>SUM(AA18:AA$31)</f>
        <v>28844.400000000001</v>
      </c>
      <c r="AB479" s="51">
        <f>SUM(AB17:AB$31)</f>
        <v>48135.149999999987</v>
      </c>
      <c r="AC479" s="51">
        <f>SUM(AC16:AC$31)</f>
        <v>55844.850000000006</v>
      </c>
      <c r="AD479" s="51">
        <f>SUM(AD15:AD$31)</f>
        <v>44793.919999999998</v>
      </c>
      <c r="AE479" s="51">
        <f>SUM(AE14:AE$31)</f>
        <v>56016.430000000015</v>
      </c>
      <c r="AF479" s="51">
        <f>SUM(AF13:AF$31)</f>
        <v>47837.84</v>
      </c>
      <c r="AG479" s="51">
        <f>SUM(AG12:AG$31)</f>
        <v>158543.65</v>
      </c>
      <c r="AH479" s="51">
        <f>SUM(AH11:AH$31)</f>
        <v>411612.38999999978</v>
      </c>
      <c r="AI479" s="51">
        <f>SUM(AI10:AI$31)</f>
        <v>1237378.9799999997</v>
      </c>
      <c r="AJ479" s="51">
        <f>SUM(AJ9:AJ$31)</f>
        <v>2593082.5199999921</v>
      </c>
      <c r="AK479" s="530">
        <v>0</v>
      </c>
      <c r="AM479" s="42">
        <f t="shared" si="232"/>
        <v>44927</v>
      </c>
      <c r="AN479" s="51">
        <f>+X478</f>
        <v>13298.269999999999</v>
      </c>
      <c r="AO479" s="51">
        <f>+X479</f>
        <v>23349.89</v>
      </c>
      <c r="AP479" s="51">
        <f>+X480</f>
        <v>30991.08</v>
      </c>
      <c r="AQ479" s="51">
        <f>+X481</f>
        <v>53310.29</v>
      </c>
      <c r="AR479" s="51">
        <f>+X482</f>
        <v>72717.740000000005</v>
      </c>
      <c r="AS479" s="51">
        <f>+X483</f>
        <v>82114.290000000008</v>
      </c>
      <c r="AT479" s="51">
        <f>+X484</f>
        <v>113461.99</v>
      </c>
      <c r="AU479" s="51">
        <f>+X485</f>
        <v>146173.31</v>
      </c>
      <c r="AV479" s="51">
        <f>+X486</f>
        <v>211391.75</v>
      </c>
      <c r="AW479" s="51">
        <f>+X487</f>
        <v>248064.81</v>
      </c>
      <c r="AX479" s="51">
        <f>+X488</f>
        <v>335361.5500000001</v>
      </c>
      <c r="AY479" s="51">
        <f>+X489</f>
        <v>623121.79999999981</v>
      </c>
      <c r="AZ479" s="51">
        <f>+X490</f>
        <v>1457642.84</v>
      </c>
      <c r="BA479" s="51">
        <f>+X491</f>
        <v>3314022.3399999933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>
        <f t="shared" si="234"/>
        <v>0</v>
      </c>
      <c r="D480" s="534"/>
      <c r="E480" s="156"/>
      <c r="F480" s="156"/>
      <c r="T480" s="530">
        <v>0</v>
      </c>
      <c r="U480" s="51">
        <f>SUM(U23:U$31)</f>
        <v>8050.6099999999979</v>
      </c>
      <c r="V480" s="51">
        <f>SUM(V22:V$31)</f>
        <v>11102.58</v>
      </c>
      <c r="W480" s="51">
        <f>SUM(W21:W$31)</f>
        <v>23254.799999999999</v>
      </c>
      <c r="X480" s="51">
        <f>SUM(X20:X$31)</f>
        <v>30991.08</v>
      </c>
      <c r="Y480" s="51">
        <f>SUM(Y19:Y$31)</f>
        <v>36300.699999999997</v>
      </c>
      <c r="Z480" s="51">
        <f>SUM(Z18:Z$31)</f>
        <v>40297.839999999997</v>
      </c>
      <c r="AA480" s="51">
        <f>SUM(AA17:AA$31)</f>
        <v>55838.47</v>
      </c>
      <c r="AB480" s="51">
        <f>SUM(AB16:AB$31)</f>
        <v>93375.63</v>
      </c>
      <c r="AC480" s="51">
        <f>SUM(AC15:AC$31)</f>
        <v>96933.420000000013</v>
      </c>
      <c r="AD480" s="51">
        <f>SUM(AD14:AD$31)</f>
        <v>92460.42</v>
      </c>
      <c r="AE480" s="51">
        <f>SUM(AE13:AE$31)</f>
        <v>105752.57000000002</v>
      </c>
      <c r="AF480" s="51">
        <f>SUM(AF12:AF$31)</f>
        <v>176601.68999999997</v>
      </c>
      <c r="AG480" s="51">
        <f>SUM(AG11:AG$31)</f>
        <v>577934.33000000007</v>
      </c>
      <c r="AH480" s="51">
        <f>SUM(AH10:AH$31)</f>
        <v>1689630.4599999972</v>
      </c>
      <c r="AI480" s="51">
        <f>SUM(AI9:AI$31)</f>
        <v>3597147.7499999944</v>
      </c>
      <c r="AJ480" s="530">
        <v>0</v>
      </c>
      <c r="AM480" s="42">
        <f t="shared" si="232"/>
        <v>44896</v>
      </c>
      <c r="AN480" s="51">
        <f>+W478</f>
        <v>7561.64</v>
      </c>
      <c r="AO480" s="51">
        <f>+W479</f>
        <v>10656.95</v>
      </c>
      <c r="AP480" s="51">
        <f>+W480</f>
        <v>23254.799999999999</v>
      </c>
      <c r="AQ480" s="51">
        <f>+W481</f>
        <v>33416.810000000005</v>
      </c>
      <c r="AR480" s="51">
        <f>+W482</f>
        <v>48144.369999999995</v>
      </c>
      <c r="AS480" s="51">
        <f>+W483</f>
        <v>59312.76</v>
      </c>
      <c r="AT480" s="51">
        <f>+W484</f>
        <v>81702.67</v>
      </c>
      <c r="AU480" s="51">
        <f>+W485</f>
        <v>96159</v>
      </c>
      <c r="AV480" s="51">
        <f>+W486</f>
        <v>115684.29</v>
      </c>
      <c r="AW480" s="51">
        <f>+W487</f>
        <v>142891.03</v>
      </c>
      <c r="AX480" s="51">
        <f>+W488</f>
        <v>181001.83000000002</v>
      </c>
      <c r="AY480" s="51">
        <f>+W489</f>
        <v>257195.51999999999</v>
      </c>
      <c r="AZ480" s="51">
        <f>+W490</f>
        <v>527663.17999999982</v>
      </c>
      <c r="BA480" s="51">
        <f>+W491</f>
        <v>1065617.0699999996</v>
      </c>
      <c r="BB480" s="51">
        <f>+W492</f>
        <v>3249406.3800000031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>
        <f t="shared" si="234"/>
        <v>0</v>
      </c>
      <c r="D481" s="156"/>
      <c r="E481" s="156"/>
      <c r="F481" s="156"/>
      <c r="T481" s="530">
        <v>0</v>
      </c>
      <c r="U481" s="51">
        <f>SUM(U22:U$31)</f>
        <v>31169.649999999998</v>
      </c>
      <c r="V481" s="51">
        <f>SUM(V21:V$31)</f>
        <v>22394.820000000003</v>
      </c>
      <c r="W481" s="51">
        <f>SUM(W20:W$31)</f>
        <v>33416.810000000005</v>
      </c>
      <c r="X481" s="51">
        <f>SUM(X19:X$31)</f>
        <v>53310.29</v>
      </c>
      <c r="Y481" s="51">
        <f>SUM(Y18:Y$31)</f>
        <v>55802.05</v>
      </c>
      <c r="Z481" s="51">
        <f>SUM(Z17:Z$31)</f>
        <v>61340.969999999987</v>
      </c>
      <c r="AA481" s="51">
        <f>SUM(AA16:AA$31)</f>
        <v>82271.33</v>
      </c>
      <c r="AB481" s="51">
        <f>SUM(AB15:AB$31)</f>
        <v>121340.63</v>
      </c>
      <c r="AC481" s="51">
        <f>SUM(AC14:AC$31)</f>
        <v>119034.65000000001</v>
      </c>
      <c r="AD481" s="51">
        <f>SUM(AD13:AD$31)</f>
        <v>119045.36</v>
      </c>
      <c r="AE481" s="51">
        <f>SUM(AE12:AE$31)</f>
        <v>183870.76000000007</v>
      </c>
      <c r="AF481" s="51">
        <f>SUM(AF11:AF$31)</f>
        <v>533083.16000000061</v>
      </c>
      <c r="AG481" s="51">
        <f>SUM(AG10:AG$31)</f>
        <v>1663776.61</v>
      </c>
      <c r="AH481" s="51">
        <f>SUM(AH9:AH$31)</f>
        <v>4217649.9999999991</v>
      </c>
      <c r="AI481" s="530">
        <v>0</v>
      </c>
      <c r="AM481" s="42">
        <f t="shared" si="232"/>
        <v>44866</v>
      </c>
      <c r="AN481" s="51">
        <f>+V478</f>
        <v>332.08000000000004</v>
      </c>
      <c r="AO481" s="51">
        <f>+V479</f>
        <v>898.03000000000009</v>
      </c>
      <c r="AP481" s="51">
        <f>+V480</f>
        <v>11102.58</v>
      </c>
      <c r="AQ481" s="51">
        <f>+V481</f>
        <v>22394.820000000003</v>
      </c>
      <c r="AR481" s="51">
        <f>+V482</f>
        <v>37623.279999999999</v>
      </c>
      <c r="AS481" s="51">
        <f>+V483</f>
        <v>49375.619999999995</v>
      </c>
      <c r="AT481" s="51">
        <f>+V484</f>
        <v>68341.279999999999</v>
      </c>
      <c r="AU481" s="51">
        <f>+V485</f>
        <v>81381.26999999999</v>
      </c>
      <c r="AV481" s="51">
        <f>+V486</f>
        <v>100530.33</v>
      </c>
      <c r="AW481" s="51">
        <f>+V487</f>
        <v>121749.73000000001</v>
      </c>
      <c r="AX481" s="51">
        <f>+V488</f>
        <v>156047.10999999996</v>
      </c>
      <c r="AY481" s="51">
        <f>+V489</f>
        <v>177372.77999999997</v>
      </c>
      <c r="AZ481" s="51">
        <f>+V490</f>
        <v>299856.43000000005</v>
      </c>
      <c r="BA481" s="51">
        <f>+V491</f>
        <v>500542.42999999993</v>
      </c>
      <c r="BB481" s="51">
        <f>+V492</f>
        <v>1222384.51</v>
      </c>
      <c r="BC481" s="51">
        <f>+V493</f>
        <v>3212762.78000001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>
        <f t="shared" si="234"/>
        <v>0</v>
      </c>
      <c r="D482" s="156"/>
      <c r="E482" s="156"/>
      <c r="F482" s="156"/>
      <c r="T482" s="530">
        <v>0</v>
      </c>
      <c r="U482" s="51">
        <f>SUM(U21:U$31)</f>
        <v>46653.680000000008</v>
      </c>
      <c r="V482" s="51">
        <f>SUM(V20:V$31)</f>
        <v>37623.279999999999</v>
      </c>
      <c r="W482" s="51">
        <f>SUM(W19:W$31)</f>
        <v>48144.369999999995</v>
      </c>
      <c r="X482" s="51">
        <f>SUM(X18:X$31)</f>
        <v>72717.740000000005</v>
      </c>
      <c r="Y482" s="51">
        <f>SUM(Y17:Y$31)</f>
        <v>72286.009999999995</v>
      </c>
      <c r="Z482" s="51">
        <f>SUM(Z16:Z$31)</f>
        <v>87738.609999999986</v>
      </c>
      <c r="AA482" s="51">
        <f>SUM(AA15:AA$31)</f>
        <v>112375.40000000001</v>
      </c>
      <c r="AB482" s="51">
        <f>SUM(AB14:AB$31)</f>
        <v>160094.31</v>
      </c>
      <c r="AC482" s="51">
        <f>SUM(AC13:AC$31)</f>
        <v>164292.87000000002</v>
      </c>
      <c r="AD482" s="51">
        <f>SUM(AD12:AD$31)</f>
        <v>222100.05</v>
      </c>
      <c r="AE482" s="51">
        <f>SUM(AE11:AE$31)</f>
        <v>504629.95000000054</v>
      </c>
      <c r="AF482" s="51">
        <f>SUM(AF10:AF$31)</f>
        <v>1498172.6200000008</v>
      </c>
      <c r="AG482" s="51">
        <f>SUM(AG9:AG$31)</f>
        <v>4317339.2300000051</v>
      </c>
      <c r="AH482" s="530">
        <v>0</v>
      </c>
      <c r="AM482" s="42">
        <f t="shared" si="232"/>
        <v>44835</v>
      </c>
      <c r="AN482" s="51">
        <f>+U478</f>
        <v>714.68999999999994</v>
      </c>
      <c r="AO482" s="51">
        <f>+U479</f>
        <v>2632.49</v>
      </c>
      <c r="AP482" s="51">
        <f>+U480</f>
        <v>8050.6099999999979</v>
      </c>
      <c r="AQ482" s="51">
        <f>+U481</f>
        <v>31169.649999999998</v>
      </c>
      <c r="AR482" s="51">
        <f>+U482</f>
        <v>46653.680000000008</v>
      </c>
      <c r="AS482" s="51">
        <f>+U483</f>
        <v>56103.130000000005</v>
      </c>
      <c r="AT482" s="51">
        <f>+U484</f>
        <v>72064.450000000012</v>
      </c>
      <c r="AU482" s="51">
        <f>+U485</f>
        <v>100771.50000000001</v>
      </c>
      <c r="AV482" s="51">
        <f>+U486</f>
        <v>118868.81999999999</v>
      </c>
      <c r="AW482" s="51">
        <f>+U487</f>
        <v>136878.46</v>
      </c>
      <c r="AX482" s="51">
        <f>+U488</f>
        <v>152111.07999999999</v>
      </c>
      <c r="AY482" s="51">
        <f>+U489</f>
        <v>191759.85</v>
      </c>
      <c r="AZ482" s="51">
        <f>+U490</f>
        <v>232372.77000000002</v>
      </c>
      <c r="BA482" s="51">
        <f>+U491</f>
        <v>322830.88</v>
      </c>
      <c r="BB482" s="51">
        <f>+U492</f>
        <v>589519.02000000014</v>
      </c>
      <c r="BC482" s="51">
        <f>+U493</f>
        <v>1434804.7700000005</v>
      </c>
      <c r="BD482" s="51">
        <f>+U494</f>
        <v>3434865.5100000016</v>
      </c>
    </row>
    <row r="483" spans="1:56" x14ac:dyDescent="0.2">
      <c r="A483" s="2">
        <f t="shared" si="235"/>
        <v>6</v>
      </c>
      <c r="B483" s="52">
        <f>+Final!A17</f>
        <v>45170</v>
      </c>
      <c r="C483" s="51">
        <f t="shared" si="234"/>
        <v>0</v>
      </c>
      <c r="D483" s="156"/>
      <c r="E483" s="156"/>
      <c r="F483" s="156"/>
      <c r="T483" s="530">
        <v>0</v>
      </c>
      <c r="U483" s="51">
        <f>SUM(U20:U$31)</f>
        <v>56103.130000000005</v>
      </c>
      <c r="V483" s="51">
        <f>SUM(V19:V$31)</f>
        <v>49375.619999999995</v>
      </c>
      <c r="W483" s="51">
        <f>SUM(W18:W$31)</f>
        <v>59312.76</v>
      </c>
      <c r="X483" s="51">
        <f>SUM(X17:X$31)</f>
        <v>82114.290000000008</v>
      </c>
      <c r="Y483" s="51">
        <f>SUM(Y16:Y$31)</f>
        <v>85371.03</v>
      </c>
      <c r="Z483" s="51">
        <f>SUM(Z15:Z$31)</f>
        <v>121264.54999999999</v>
      </c>
      <c r="AA483" s="51">
        <f>SUM(AA14:AA$31)</f>
        <v>143039.04999999999</v>
      </c>
      <c r="AB483" s="51">
        <f>SUM(AB13:AB$31)</f>
        <v>193617.68000000002</v>
      </c>
      <c r="AC483" s="51">
        <f>SUM(AC12:AC$31)</f>
        <v>282191.94</v>
      </c>
      <c r="AD483" s="51">
        <f>SUM(AD11:AD$31)</f>
        <v>556875.28000000026</v>
      </c>
      <c r="AE483" s="51">
        <f>SUM(AE10:AE$31)</f>
        <v>1507997.18</v>
      </c>
      <c r="AF483" s="51">
        <f>SUM(AF9:AF$31)</f>
        <v>4213720.3099999968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>
        <f t="shared" si="234"/>
        <v>0</v>
      </c>
      <c r="D484" s="156"/>
      <c r="E484" s="156"/>
      <c r="F484" s="156"/>
      <c r="T484" s="530">
        <v>0</v>
      </c>
      <c r="U484" s="51">
        <f>SUM(U19:U$31)</f>
        <v>72064.450000000012</v>
      </c>
      <c r="V484" s="51">
        <f>SUM(V18:V$31)</f>
        <v>68341.279999999999</v>
      </c>
      <c r="W484" s="51">
        <f>SUM(W17:W$31)</f>
        <v>81702.67</v>
      </c>
      <c r="X484" s="51">
        <f>SUM(X16:X$31)</f>
        <v>113461.99</v>
      </c>
      <c r="Y484" s="51">
        <f>SUM(Y15:Y$31)</f>
        <v>120187.05000000002</v>
      </c>
      <c r="Z484" s="51">
        <f>SUM(Z14:Z$31)</f>
        <v>157217.93999999994</v>
      </c>
      <c r="AA484" s="51">
        <f>SUM(AA13:AA$31)</f>
        <v>174534.04</v>
      </c>
      <c r="AB484" s="51">
        <f>SUM(AB12:AB$31)</f>
        <v>298611.38999999996</v>
      </c>
      <c r="AC484" s="51">
        <f>SUM(AC11:AC$31)</f>
        <v>570174.61</v>
      </c>
      <c r="AD484" s="51">
        <f>SUM(AD10:AD$31)</f>
        <v>1543793.3399999992</v>
      </c>
      <c r="AE484" s="51">
        <f>SUM(AE9:AE$31)</f>
        <v>4216334.4900000133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>
        <f t="shared" si="234"/>
        <v>0</v>
      </c>
      <c r="D485" s="156"/>
      <c r="E485" s="156"/>
      <c r="F485" s="156"/>
      <c r="T485" s="530">
        <v>0</v>
      </c>
      <c r="U485" s="51">
        <f>SUM(U18:U$31)</f>
        <v>100771.50000000001</v>
      </c>
      <c r="V485" s="51">
        <f>SUM(V17:V$31)</f>
        <v>81381.26999999999</v>
      </c>
      <c r="W485" s="51">
        <f>SUM(W16:W$31)</f>
        <v>96159</v>
      </c>
      <c r="X485" s="51">
        <f>SUM(X15:X$31)</f>
        <v>146173.31</v>
      </c>
      <c r="Y485" s="51">
        <f>SUM(Y14:Y$31)</f>
        <v>143974.85</v>
      </c>
      <c r="Z485" s="51">
        <f>SUM(Z13:Z$31)</f>
        <v>198203.90999999997</v>
      </c>
      <c r="AA485" s="51">
        <f>SUM(AA12:AA$31)</f>
        <v>255363.75999999998</v>
      </c>
      <c r="AB485" s="51">
        <f>SUM(AB11:AB$31)</f>
        <v>563976.06000000006</v>
      </c>
      <c r="AC485" s="51">
        <f>SUM(AC10:AC$31)</f>
        <v>1521176.819999997</v>
      </c>
      <c r="AD485" s="51">
        <f>SUM(AD9:AD$31)</f>
        <v>3859375.0999999843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>
        <f t="shared" si="234"/>
        <v>0</v>
      </c>
      <c r="D486" s="156"/>
      <c r="E486" s="156"/>
      <c r="F486" s="156"/>
      <c r="T486" s="530">
        <v>0</v>
      </c>
      <c r="U486" s="51">
        <f>SUM(U17:U$31)</f>
        <v>118868.81999999999</v>
      </c>
      <c r="V486" s="51">
        <f>SUM(V16:V$31)</f>
        <v>100530.33</v>
      </c>
      <c r="W486" s="51">
        <f>SUM(W15:W$31)</f>
        <v>115684.29</v>
      </c>
      <c r="X486" s="51">
        <f>SUM(X14:X$31)</f>
        <v>211391.75</v>
      </c>
      <c r="Y486" s="51">
        <f>SUM(Y13:Y$31)</f>
        <v>166207.04000000001</v>
      </c>
      <c r="Z486" s="51">
        <f>SUM(Z12:Z$31)</f>
        <v>267226.88999999996</v>
      </c>
      <c r="AA486" s="51">
        <f>SUM(AA11:AA$31)</f>
        <v>490830.95000000019</v>
      </c>
      <c r="AB486" s="51">
        <f>SUM(AB10:AB$31)</f>
        <v>1441786.8299999998</v>
      </c>
      <c r="AC486" s="51">
        <f>SUM(AC9:AC$31)</f>
        <v>3828674.0199999893</v>
      </c>
      <c r="AD486" s="530">
        <v>0</v>
      </c>
      <c r="AM486" s="42">
        <f t="shared" ref="AM486:BD486" si="236">+AM482</f>
        <v>44835</v>
      </c>
      <c r="AN486" s="51">
        <f t="shared" si="236"/>
        <v>714.68999999999994</v>
      </c>
      <c r="AO486" s="51">
        <f t="shared" si="236"/>
        <v>2632.49</v>
      </c>
      <c r="AP486" s="51">
        <f t="shared" si="236"/>
        <v>8050.6099999999979</v>
      </c>
      <c r="AQ486" s="51">
        <f t="shared" si="236"/>
        <v>31169.649999999998</v>
      </c>
      <c r="AR486" s="51">
        <f t="shared" si="236"/>
        <v>46653.680000000008</v>
      </c>
      <c r="AS486" s="51">
        <f t="shared" si="236"/>
        <v>56103.130000000005</v>
      </c>
      <c r="AT486" s="51">
        <f t="shared" si="236"/>
        <v>72064.450000000012</v>
      </c>
      <c r="AU486" s="51">
        <f t="shared" si="236"/>
        <v>100771.50000000001</v>
      </c>
      <c r="AV486" s="51">
        <f t="shared" si="236"/>
        <v>118868.81999999999</v>
      </c>
      <c r="AW486" s="51">
        <f t="shared" si="236"/>
        <v>136878.46</v>
      </c>
      <c r="AX486" s="51">
        <f t="shared" si="236"/>
        <v>152111.07999999999</v>
      </c>
      <c r="AY486" s="51">
        <f t="shared" si="236"/>
        <v>191759.85</v>
      </c>
      <c r="AZ486" s="51">
        <f t="shared" si="236"/>
        <v>232372.77000000002</v>
      </c>
      <c r="BA486" s="51">
        <f t="shared" si="236"/>
        <v>322830.88</v>
      </c>
      <c r="BB486" s="51">
        <f t="shared" si="236"/>
        <v>589519.02000000014</v>
      </c>
      <c r="BC486" s="51">
        <f t="shared" si="236"/>
        <v>1434804.7700000005</v>
      </c>
      <c r="BD486" s="51">
        <f t="shared" si="236"/>
        <v>3434865.5100000016</v>
      </c>
    </row>
    <row r="487" spans="1:56" x14ac:dyDescent="0.2">
      <c r="A487" s="2">
        <f t="shared" si="235"/>
        <v>10</v>
      </c>
      <c r="B487" s="52">
        <f>+Final!A21</f>
        <v>45047</v>
      </c>
      <c r="C487" s="51">
        <f t="shared" si="234"/>
        <v>0</v>
      </c>
      <c r="D487" s="156"/>
      <c r="E487" s="156"/>
      <c r="F487" s="156"/>
      <c r="T487" s="530">
        <v>0</v>
      </c>
      <c r="U487" s="51">
        <f>SUM(U16:U$31)</f>
        <v>136878.46</v>
      </c>
      <c r="V487" s="51">
        <f>SUM(V15:V$31)</f>
        <v>121749.73000000001</v>
      </c>
      <c r="W487" s="51">
        <f>SUM(W14:W$31)</f>
        <v>142891.03</v>
      </c>
      <c r="X487" s="51">
        <f>SUM(X13:X$31)</f>
        <v>248064.81</v>
      </c>
      <c r="Y487" s="51">
        <f>SUM(Y12:Y$31)</f>
        <v>218442.97999999998</v>
      </c>
      <c r="Z487" s="51">
        <f>SUM(Z11:Z$31)</f>
        <v>530508.57999999996</v>
      </c>
      <c r="AA487" s="51">
        <f>SUM(AA10:AA$31)</f>
        <v>1381595.1299999987</v>
      </c>
      <c r="AB487" s="51">
        <f>SUM(AB9:AB$31)</f>
        <v>3920874.9699999983</v>
      </c>
      <c r="AC487" s="530">
        <v>0</v>
      </c>
      <c r="AM487" s="42">
        <f t="shared" ref="AM487:BD487" si="237">+AM481</f>
        <v>44866</v>
      </c>
      <c r="AN487" s="51">
        <f t="shared" si="237"/>
        <v>332.08000000000004</v>
      </c>
      <c r="AO487" s="51">
        <f t="shared" si="237"/>
        <v>898.03000000000009</v>
      </c>
      <c r="AP487" s="51">
        <f t="shared" si="237"/>
        <v>11102.58</v>
      </c>
      <c r="AQ487" s="51">
        <f t="shared" si="237"/>
        <v>22394.820000000003</v>
      </c>
      <c r="AR487" s="51">
        <f t="shared" si="237"/>
        <v>37623.279999999999</v>
      </c>
      <c r="AS487" s="51">
        <f t="shared" si="237"/>
        <v>49375.619999999995</v>
      </c>
      <c r="AT487" s="51">
        <f t="shared" si="237"/>
        <v>68341.279999999999</v>
      </c>
      <c r="AU487" s="51">
        <f t="shared" si="237"/>
        <v>81381.26999999999</v>
      </c>
      <c r="AV487" s="51">
        <f t="shared" si="237"/>
        <v>100530.33</v>
      </c>
      <c r="AW487" s="51">
        <f t="shared" si="237"/>
        <v>121749.73000000001</v>
      </c>
      <c r="AX487" s="51">
        <f t="shared" si="237"/>
        <v>156047.10999999996</v>
      </c>
      <c r="AY487" s="51">
        <f t="shared" si="237"/>
        <v>177372.77999999997</v>
      </c>
      <c r="AZ487" s="51">
        <f t="shared" si="237"/>
        <v>299856.43000000005</v>
      </c>
      <c r="BA487" s="51">
        <f t="shared" si="237"/>
        <v>500542.42999999993</v>
      </c>
      <c r="BB487" s="51">
        <f t="shared" si="237"/>
        <v>1222384.51</v>
      </c>
      <c r="BC487" s="51">
        <f t="shared" si="237"/>
        <v>3212762.78000001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>
        <f t="shared" si="234"/>
        <v>0</v>
      </c>
      <c r="D488" s="156"/>
      <c r="E488" s="156"/>
      <c r="F488" s="156"/>
      <c r="T488" s="530">
        <v>0</v>
      </c>
      <c r="U488" s="51">
        <f>SUM(U15:U$31)</f>
        <v>152111.07999999999</v>
      </c>
      <c r="V488" s="51">
        <f>SUM(V14:V$31)</f>
        <v>156047.10999999996</v>
      </c>
      <c r="W488" s="51">
        <f>SUM(W13:W$31)</f>
        <v>181001.83000000002</v>
      </c>
      <c r="X488" s="51">
        <f>SUM(X12:X$31)</f>
        <v>335361.5500000001</v>
      </c>
      <c r="Y488" s="51">
        <f>SUM(Y11:Y$31)</f>
        <v>430918.98000000016</v>
      </c>
      <c r="Z488" s="51">
        <f>SUM(Z10:Z$31)</f>
        <v>1485320.7599999961</v>
      </c>
      <c r="AA488" s="51">
        <f>SUM(AA9:AA$31)</f>
        <v>3817551.1199999978</v>
      </c>
      <c r="AB488" s="530">
        <v>0</v>
      </c>
      <c r="AM488" s="42">
        <f t="shared" ref="AM488:BD488" si="238">+AM480</f>
        <v>44896</v>
      </c>
      <c r="AN488" s="51">
        <f t="shared" si="238"/>
        <v>7561.64</v>
      </c>
      <c r="AO488" s="51">
        <f t="shared" si="238"/>
        <v>10656.95</v>
      </c>
      <c r="AP488" s="51">
        <f t="shared" si="238"/>
        <v>23254.799999999999</v>
      </c>
      <c r="AQ488" s="51">
        <f t="shared" si="238"/>
        <v>33416.810000000005</v>
      </c>
      <c r="AR488" s="51">
        <f t="shared" si="238"/>
        <v>48144.369999999995</v>
      </c>
      <c r="AS488" s="51">
        <f t="shared" si="238"/>
        <v>59312.76</v>
      </c>
      <c r="AT488" s="51">
        <f t="shared" si="238"/>
        <v>81702.67</v>
      </c>
      <c r="AU488" s="51">
        <f t="shared" si="238"/>
        <v>96159</v>
      </c>
      <c r="AV488" s="51">
        <f t="shared" si="238"/>
        <v>115684.29</v>
      </c>
      <c r="AW488" s="51">
        <f t="shared" si="238"/>
        <v>142891.03</v>
      </c>
      <c r="AX488" s="51">
        <f t="shared" si="238"/>
        <v>181001.83000000002</v>
      </c>
      <c r="AY488" s="51">
        <f t="shared" si="238"/>
        <v>257195.51999999999</v>
      </c>
      <c r="AZ488" s="51">
        <f t="shared" si="238"/>
        <v>527663.17999999982</v>
      </c>
      <c r="BA488" s="51">
        <f t="shared" si="238"/>
        <v>1065617.0699999996</v>
      </c>
      <c r="BB488" s="51">
        <f t="shared" si="238"/>
        <v>3249406.3800000031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>
        <f t="shared" si="234"/>
        <v>0</v>
      </c>
      <c r="D489" s="156"/>
      <c r="E489" s="156"/>
      <c r="F489" s="156"/>
      <c r="T489" s="530">
        <v>0</v>
      </c>
      <c r="U489" s="51">
        <f>SUM(U14:U$31)</f>
        <v>191759.85</v>
      </c>
      <c r="V489" s="51">
        <f>SUM(V13:V$31)</f>
        <v>177372.77999999997</v>
      </c>
      <c r="W489" s="51">
        <f>SUM(W12:W$31)</f>
        <v>257195.51999999999</v>
      </c>
      <c r="X489" s="51">
        <f>SUM(X11:X$31)</f>
        <v>623121.79999999981</v>
      </c>
      <c r="Y489" s="51">
        <f>SUM(Y10:Y$31)</f>
        <v>1115719.3299999996</v>
      </c>
      <c r="Z489" s="51">
        <f>SUM(Z9:Z$31)</f>
        <v>3683698.899999992</v>
      </c>
      <c r="AA489" s="530">
        <v>0</v>
      </c>
      <c r="AM489" s="42">
        <f t="shared" ref="AM489:BD489" si="239">+AM479</f>
        <v>44927</v>
      </c>
      <c r="AN489" s="51">
        <f t="shared" si="239"/>
        <v>13298.269999999999</v>
      </c>
      <c r="AO489" s="51">
        <f t="shared" si="239"/>
        <v>23349.89</v>
      </c>
      <c r="AP489" s="51">
        <f t="shared" si="239"/>
        <v>30991.08</v>
      </c>
      <c r="AQ489" s="51">
        <f t="shared" si="239"/>
        <v>53310.29</v>
      </c>
      <c r="AR489" s="51">
        <f t="shared" si="239"/>
        <v>72717.740000000005</v>
      </c>
      <c r="AS489" s="51">
        <f t="shared" si="239"/>
        <v>82114.290000000008</v>
      </c>
      <c r="AT489" s="51">
        <f t="shared" si="239"/>
        <v>113461.99</v>
      </c>
      <c r="AU489" s="51">
        <f t="shared" si="239"/>
        <v>146173.31</v>
      </c>
      <c r="AV489" s="51">
        <f t="shared" si="239"/>
        <v>211391.75</v>
      </c>
      <c r="AW489" s="51">
        <f t="shared" si="239"/>
        <v>248064.81</v>
      </c>
      <c r="AX489" s="51">
        <f t="shared" si="239"/>
        <v>335361.5500000001</v>
      </c>
      <c r="AY489" s="51">
        <f t="shared" si="239"/>
        <v>623121.79999999981</v>
      </c>
      <c r="AZ489" s="51">
        <f t="shared" si="239"/>
        <v>1457642.84</v>
      </c>
      <c r="BA489" s="51">
        <f t="shared" si="239"/>
        <v>3314022.3399999933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>
        <f t="shared" si="234"/>
        <v>0</v>
      </c>
      <c r="D490" s="156"/>
      <c r="E490" s="156"/>
      <c r="F490" s="156"/>
      <c r="T490" s="530">
        <v>0</v>
      </c>
      <c r="U490" s="51">
        <f>SUM(U13:U$31)</f>
        <v>232372.77000000002</v>
      </c>
      <c r="V490" s="51">
        <f>SUM(V12:V$31)</f>
        <v>299856.43000000005</v>
      </c>
      <c r="W490" s="51">
        <f>SUM(W11:W$31)</f>
        <v>527663.17999999982</v>
      </c>
      <c r="X490" s="51">
        <f>SUM(X10:X$31)</f>
        <v>1457642.84</v>
      </c>
      <c r="Y490" s="51">
        <f>SUM(Y9:Y$31)</f>
        <v>3442149.4299999857</v>
      </c>
      <c r="Z490" s="530">
        <v>0</v>
      </c>
      <c r="AM490" s="42">
        <f t="shared" ref="AM490:BD490" si="240">+AM478</f>
        <v>44958</v>
      </c>
      <c r="AN490" s="51">
        <f t="shared" si="240"/>
        <v>12158.550000000001</v>
      </c>
      <c r="AO490" s="51">
        <f t="shared" si="240"/>
        <v>25111.82</v>
      </c>
      <c r="AP490" s="51">
        <f t="shared" si="240"/>
        <v>36300.699999999997</v>
      </c>
      <c r="AQ490" s="51">
        <f t="shared" si="240"/>
        <v>55802.05</v>
      </c>
      <c r="AR490" s="51">
        <f t="shared" si="240"/>
        <v>72286.009999999995</v>
      </c>
      <c r="AS490" s="51">
        <f t="shared" si="240"/>
        <v>85371.03</v>
      </c>
      <c r="AT490" s="51">
        <f t="shared" si="240"/>
        <v>120187.05000000002</v>
      </c>
      <c r="AU490" s="51">
        <f t="shared" si="240"/>
        <v>143974.85</v>
      </c>
      <c r="AV490" s="51">
        <f t="shared" si="240"/>
        <v>166207.04000000001</v>
      </c>
      <c r="AW490" s="51">
        <f t="shared" si="240"/>
        <v>218442.97999999998</v>
      </c>
      <c r="AX490" s="51">
        <f t="shared" si="240"/>
        <v>430918.98000000016</v>
      </c>
      <c r="AY490" s="51">
        <f t="shared" si="240"/>
        <v>1115719.3299999996</v>
      </c>
      <c r="AZ490" s="51">
        <f t="shared" si="240"/>
        <v>3442149.4299999857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>
        <f t="shared" si="234"/>
        <v>0</v>
      </c>
      <c r="D491" s="156"/>
      <c r="E491" s="156"/>
      <c r="F491" s="156"/>
      <c r="T491" s="530">
        <v>0</v>
      </c>
      <c r="U491" s="51">
        <f>SUM(U12:U$31)</f>
        <v>322830.88</v>
      </c>
      <c r="V491" s="51">
        <f>SUM(V11:V$31)</f>
        <v>500542.42999999993</v>
      </c>
      <c r="W491" s="51">
        <f>SUM(W10:W$31)</f>
        <v>1065617.0699999996</v>
      </c>
      <c r="X491" s="51">
        <f>SUM(X9:X$31)</f>
        <v>3314022.3399999933</v>
      </c>
      <c r="Y491" s="530">
        <v>0</v>
      </c>
      <c r="AM491" s="42">
        <f t="shared" ref="AM491:BD491" si="241">+AM477</f>
        <v>44986</v>
      </c>
      <c r="AN491" s="51">
        <f t="shared" si="241"/>
        <v>14533.269999999997</v>
      </c>
      <c r="AO491" s="51">
        <f t="shared" si="241"/>
        <v>26723.78</v>
      </c>
      <c r="AP491" s="51">
        <f t="shared" si="241"/>
        <v>40297.839999999997</v>
      </c>
      <c r="AQ491" s="51">
        <f t="shared" si="241"/>
        <v>61340.969999999987</v>
      </c>
      <c r="AR491" s="51">
        <f t="shared" si="241"/>
        <v>87738.609999999986</v>
      </c>
      <c r="AS491" s="51">
        <f t="shared" si="241"/>
        <v>121264.54999999999</v>
      </c>
      <c r="AT491" s="51">
        <f t="shared" si="241"/>
        <v>157217.93999999994</v>
      </c>
      <c r="AU491" s="51">
        <f t="shared" si="241"/>
        <v>198203.90999999997</v>
      </c>
      <c r="AV491" s="51">
        <f t="shared" si="241"/>
        <v>267226.88999999996</v>
      </c>
      <c r="AW491" s="51">
        <f t="shared" si="241"/>
        <v>530508.57999999996</v>
      </c>
      <c r="AX491" s="51">
        <f t="shared" si="241"/>
        <v>1485320.7599999961</v>
      </c>
      <c r="AY491" s="51">
        <f t="shared" si="241"/>
        <v>3683698.899999992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>
        <f t="shared" si="234"/>
        <v>3249406.3800000031</v>
      </c>
      <c r="D492" s="156"/>
      <c r="E492" s="156"/>
      <c r="F492" s="156"/>
      <c r="T492" s="530">
        <v>0</v>
      </c>
      <c r="U492" s="51">
        <f>SUM(U11:U$31)</f>
        <v>589519.02000000014</v>
      </c>
      <c r="V492" s="51">
        <f>SUM(V10:V$31)</f>
        <v>1222384.51</v>
      </c>
      <c r="W492" s="51">
        <f>SUM(W9:W$31)</f>
        <v>3249406.3800000031</v>
      </c>
      <c r="X492" s="530">
        <v>0</v>
      </c>
      <c r="AM492" s="42">
        <f t="shared" ref="AM492:BD492" si="242">+AM476</f>
        <v>45017</v>
      </c>
      <c r="AN492" s="51">
        <f t="shared" si="242"/>
        <v>14483.329999999998</v>
      </c>
      <c r="AO492" s="51">
        <f t="shared" si="242"/>
        <v>28844.400000000001</v>
      </c>
      <c r="AP492" s="51">
        <f t="shared" si="242"/>
        <v>55838.47</v>
      </c>
      <c r="AQ492" s="51">
        <f t="shared" si="242"/>
        <v>82271.33</v>
      </c>
      <c r="AR492" s="51">
        <f t="shared" si="242"/>
        <v>112375.40000000001</v>
      </c>
      <c r="AS492" s="51">
        <f t="shared" si="242"/>
        <v>143039.04999999999</v>
      </c>
      <c r="AT492" s="51">
        <f t="shared" si="242"/>
        <v>174534.04</v>
      </c>
      <c r="AU492" s="51">
        <f t="shared" si="242"/>
        <v>255363.75999999998</v>
      </c>
      <c r="AV492" s="51">
        <f t="shared" si="242"/>
        <v>490830.95000000019</v>
      </c>
      <c r="AW492" s="51">
        <f t="shared" si="242"/>
        <v>1381595.1299999987</v>
      </c>
      <c r="AX492" s="51">
        <f t="shared" si="242"/>
        <v>3817551.1199999978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>
        <f t="shared" si="234"/>
        <v>1222384.51</v>
      </c>
      <c r="D493" s="156"/>
      <c r="E493" s="156"/>
      <c r="F493" s="156"/>
      <c r="T493" s="530">
        <v>0</v>
      </c>
      <c r="U493" s="51">
        <f>SUM(U10:U$31)</f>
        <v>1434804.7700000005</v>
      </c>
      <c r="V493" s="51">
        <f>SUM(V9:V$31)</f>
        <v>3212762.78000001</v>
      </c>
      <c r="W493" s="530">
        <v>0</v>
      </c>
      <c r="AM493" s="42">
        <f t="shared" ref="AM493:BD493" si="243">+AM475</f>
        <v>45047</v>
      </c>
      <c r="AN493" s="51">
        <f t="shared" si="243"/>
        <v>28915.619999999992</v>
      </c>
      <c r="AO493" s="51">
        <f t="shared" si="243"/>
        <v>48135.149999999987</v>
      </c>
      <c r="AP493" s="51">
        <f t="shared" si="243"/>
        <v>93375.63</v>
      </c>
      <c r="AQ493" s="51">
        <f t="shared" si="243"/>
        <v>121340.63</v>
      </c>
      <c r="AR493" s="51">
        <f t="shared" si="243"/>
        <v>160094.31</v>
      </c>
      <c r="AS493" s="51">
        <f t="shared" si="243"/>
        <v>193617.68000000002</v>
      </c>
      <c r="AT493" s="51">
        <f t="shared" si="243"/>
        <v>298611.38999999996</v>
      </c>
      <c r="AU493" s="51">
        <f t="shared" si="243"/>
        <v>563976.06000000006</v>
      </c>
      <c r="AV493" s="51">
        <f t="shared" si="243"/>
        <v>1441786.8299999998</v>
      </c>
      <c r="AW493" s="51">
        <f t="shared" si="243"/>
        <v>3920874.9699999983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>
        <f t="shared" si="234"/>
        <v>589519.02000000014</v>
      </c>
      <c r="D494" s="156"/>
      <c r="E494" s="156"/>
      <c r="F494" s="156"/>
      <c r="T494" s="530">
        <v>0</v>
      </c>
      <c r="U494" s="51">
        <f>SUM(U9:U$31)</f>
        <v>3434865.5100000016</v>
      </c>
      <c r="V494" s="530">
        <v>0</v>
      </c>
      <c r="AM494" s="42">
        <f t="shared" ref="AM494:BD494" si="244">+AM474</f>
        <v>45078</v>
      </c>
      <c r="AN494" s="51">
        <f t="shared" si="244"/>
        <v>34768.660000000003</v>
      </c>
      <c r="AO494" s="51">
        <f t="shared" si="244"/>
        <v>55844.850000000006</v>
      </c>
      <c r="AP494" s="51">
        <f t="shared" si="244"/>
        <v>96933.420000000013</v>
      </c>
      <c r="AQ494" s="51">
        <f t="shared" si="244"/>
        <v>119034.65000000001</v>
      </c>
      <c r="AR494" s="51">
        <f t="shared" si="244"/>
        <v>164292.87000000002</v>
      </c>
      <c r="AS494" s="51">
        <f t="shared" si="244"/>
        <v>282191.94</v>
      </c>
      <c r="AT494" s="51">
        <f t="shared" si="244"/>
        <v>570174.61</v>
      </c>
      <c r="AU494" s="51">
        <f t="shared" si="244"/>
        <v>1521176.819999997</v>
      </c>
      <c r="AV494" s="51">
        <f t="shared" si="244"/>
        <v>3828674.0199999893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18846.36</v>
      </c>
      <c r="AO495" s="51">
        <f t="shared" si="245"/>
        <v>44793.919999999998</v>
      </c>
      <c r="AP495" s="51">
        <f t="shared" si="245"/>
        <v>92460.42</v>
      </c>
      <c r="AQ495" s="51">
        <f t="shared" si="245"/>
        <v>119045.36</v>
      </c>
      <c r="AR495" s="51">
        <f t="shared" si="245"/>
        <v>222100.05</v>
      </c>
      <c r="AS495" s="51">
        <f t="shared" si="245"/>
        <v>556875.28000000026</v>
      </c>
      <c r="AT495" s="51">
        <f t="shared" si="245"/>
        <v>1543793.3399999992</v>
      </c>
      <c r="AU495" s="51">
        <f t="shared" si="245"/>
        <v>3859375.0999999843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29140.390000000003</v>
      </c>
      <c r="AO496" s="51">
        <f t="shared" si="246"/>
        <v>56016.430000000015</v>
      </c>
      <c r="AP496" s="51">
        <f t="shared" si="246"/>
        <v>105752.57000000002</v>
      </c>
      <c r="AQ496" s="51">
        <f t="shared" si="246"/>
        <v>183870.76000000007</v>
      </c>
      <c r="AR496" s="51">
        <f t="shared" si="246"/>
        <v>504629.95000000054</v>
      </c>
      <c r="AS496" s="51">
        <f t="shared" si="246"/>
        <v>1507997.18</v>
      </c>
      <c r="AT496" s="51">
        <f t="shared" si="246"/>
        <v>4216334.4900000133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22227.510000000002</v>
      </c>
      <c r="AO497" s="51">
        <f t="shared" si="247"/>
        <v>47837.84</v>
      </c>
      <c r="AP497" s="51">
        <f t="shared" si="247"/>
        <v>176601.68999999997</v>
      </c>
      <c r="AQ497" s="51">
        <f t="shared" si="247"/>
        <v>533083.16000000061</v>
      </c>
      <c r="AR497" s="51">
        <f t="shared" si="247"/>
        <v>1498172.6200000008</v>
      </c>
      <c r="AS497" s="51">
        <f t="shared" si="247"/>
        <v>4213720.3099999968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35030.54</v>
      </c>
      <c r="AO498" s="51">
        <f t="shared" si="248"/>
        <v>158543.65</v>
      </c>
      <c r="AP498" s="51">
        <f t="shared" si="248"/>
        <v>577934.33000000007</v>
      </c>
      <c r="AQ498" s="51">
        <f t="shared" si="248"/>
        <v>1663776.61</v>
      </c>
      <c r="AR498" s="51">
        <f t="shared" si="248"/>
        <v>4317339.2300000051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136946.48000000001</v>
      </c>
      <c r="AO499" s="51">
        <f t="shared" si="249"/>
        <v>411612.38999999978</v>
      </c>
      <c r="AP499" s="51">
        <f t="shared" si="249"/>
        <v>1689630.4599999972</v>
      </c>
      <c r="AQ499" s="51">
        <f t="shared" si="249"/>
        <v>4217649.9999999991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306998.1199999997</v>
      </c>
      <c r="AO500" s="51">
        <f t="shared" si="250"/>
        <v>1237378.9799999997</v>
      </c>
      <c r="AP500" s="51">
        <f t="shared" si="250"/>
        <v>3597147.7499999944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1196878.9899999981</v>
      </c>
      <c r="AO501" s="51">
        <f t="shared" si="251"/>
        <v>2593082.5199999921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1429182.7499999988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zoomScaleNormal="100" zoomScaleSheetLayoutView="110" workbookViewId="0">
      <selection activeCell="O38" sqref="O38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5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Allied Pacific (APC Medicare)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8937624.6294060163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0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8937624.6294060163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31959</v>
      </c>
      <c r="C11" s="53">
        <f ca="1">X11</f>
        <v>4467229</v>
      </c>
      <c r="D11" s="53">
        <f>-Data!BZ8</f>
        <v>0</v>
      </c>
      <c r="E11" s="53">
        <f ca="1">C11+D11</f>
        <v>4467229</v>
      </c>
      <c r="F11" s="54">
        <f ca="1">IF(B11=0,0,E11/B11)</f>
        <v>139.77999937419818</v>
      </c>
      <c r="G11" s="30"/>
      <c r="H11" s="53">
        <f>+Data!$CA8</f>
        <v>571271.51999999979</v>
      </c>
      <c r="I11" s="30"/>
      <c r="J11" s="55">
        <f ca="1">IF(B11=0,0,H11/E11)</f>
        <v>0.12788050937169324</v>
      </c>
      <c r="K11" s="30"/>
      <c r="L11" s="53">
        <f ca="1">E11-H11</f>
        <v>3895957.4800000004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121.90486185425077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4467229</v>
      </c>
      <c r="W11" s="53">
        <f>Log!$N40</f>
        <v>0</v>
      </c>
      <c r="X11" s="53">
        <f t="shared" ref="X11:X22" ca="1" si="4">IF(X$8=1,V11,W11)</f>
        <v>4467229</v>
      </c>
      <c r="Y11" s="53">
        <f ca="1">X11</f>
        <v>4467229</v>
      </c>
      <c r="AA11" s="610">
        <f t="shared" si="0"/>
        <v>44834</v>
      </c>
      <c r="AB11" s="51">
        <f ca="1">$Y28</f>
        <v>85543405.987748712</v>
      </c>
      <c r="AC11" s="51">
        <f>SUM(Data!U$142:'Data'!$AL$142)</f>
        <v>83527574.969999969</v>
      </c>
      <c r="AD11" s="43">
        <f t="shared" ref="AD11:AD27" ca="1" si="5">$L$47-AB11+AC11</f>
        <v>6781220.5716573</v>
      </c>
      <c r="AE11" s="43">
        <f ca="1">AE12-L28</f>
        <v>169390.12165729469</v>
      </c>
      <c r="AF11" s="43">
        <f t="shared" ref="AF11:AF29" ca="1" si="6">AD11-AE11</f>
        <v>6611830.4500000048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32222</v>
      </c>
      <c r="C12" s="53">
        <f t="shared" ref="C12:C46" ca="1" si="7">X12</f>
        <v>3859655</v>
      </c>
      <c r="D12" s="53">
        <f>-Data!BZ9</f>
        <v>0</v>
      </c>
      <c r="E12" s="53">
        <f t="shared" ref="E12:E28" ca="1" si="8">C12+D12</f>
        <v>3859655</v>
      </c>
      <c r="F12" s="54">
        <f t="shared" ref="F12:F28" ca="1" si="9">IF(B12=0,0,E12/B12)</f>
        <v>119.78322264291478</v>
      </c>
      <c r="G12" s="30"/>
      <c r="H12" s="53">
        <f>+Data!$CA9</f>
        <v>1819598.1699999985</v>
      </c>
      <c r="I12" s="30"/>
      <c r="J12" s="55">
        <f t="shared" ref="J12:J46" ca="1" si="10">IF(B12=0,0,H12/E12)</f>
        <v>0.47144062616995525</v>
      </c>
      <c r="K12" s="30"/>
      <c r="L12" s="53">
        <f t="shared" ref="L12:L46" ca="1" si="11">E12-H12</f>
        <v>2040056.8300000015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63.312545155483875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3859655</v>
      </c>
      <c r="W12" s="53">
        <f>Log!$N41</f>
        <v>0</v>
      </c>
      <c r="X12" s="53">
        <f t="shared" ca="1" si="4"/>
        <v>3859655</v>
      </c>
      <c r="Y12" s="53">
        <f ca="1">SUM(X$11:X12)</f>
        <v>8326884</v>
      </c>
      <c r="AA12" s="610">
        <f t="shared" si="0"/>
        <v>44865</v>
      </c>
      <c r="AB12" s="51">
        <f ca="1">$Y27</f>
        <v>80855175.835340336</v>
      </c>
      <c r="AC12" s="51">
        <f>SUM(Data!V$142:'Data'!$AL$142)</f>
        <v>79104848.559999943</v>
      </c>
      <c r="AD12" s="43">
        <f t="shared" ca="1" si="5"/>
        <v>7046724.3140656352</v>
      </c>
      <c r="AE12" s="43">
        <f ca="1">AE13-L27</f>
        <v>203589.41406565858</v>
      </c>
      <c r="AF12" s="43">
        <f t="shared" ca="1" si="6"/>
        <v>6843134.8999999762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32515</v>
      </c>
      <c r="C13" s="53">
        <f t="shared" ca="1" si="7"/>
        <v>4129716</v>
      </c>
      <c r="D13" s="53">
        <f>-Data!BZ10</f>
        <v>0</v>
      </c>
      <c r="E13" s="53">
        <f t="shared" ca="1" si="8"/>
        <v>4129716</v>
      </c>
      <c r="F13" s="54">
        <f t="shared" ca="1" si="9"/>
        <v>127.00956481623867</v>
      </c>
      <c r="G13" s="30"/>
      <c r="H13" s="53">
        <f>+Data!$CA10</f>
        <v>3478675.1399999922</v>
      </c>
      <c r="I13" s="30"/>
      <c r="J13" s="55">
        <f t="shared" ca="1" si="10"/>
        <v>0.84235214721786977</v>
      </c>
      <c r="K13" s="30"/>
      <c r="L13" s="53">
        <f t="shared" ca="1" si="11"/>
        <v>651040.86000000779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20.022785176072823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4129716</v>
      </c>
      <c r="W13" s="53">
        <f>Log!$N42</f>
        <v>0</v>
      </c>
      <c r="X13" s="53">
        <f t="shared" ca="1" si="4"/>
        <v>4129716</v>
      </c>
      <c r="Y13" s="53">
        <f ca="1">SUM(X$11:X13)</f>
        <v>12456600</v>
      </c>
      <c r="Z13" s="66"/>
      <c r="AA13" s="610">
        <f t="shared" si="0"/>
        <v>44895</v>
      </c>
      <c r="AB13" s="51">
        <f ca="1">$Y26</f>
        <v>76444006.654157043</v>
      </c>
      <c r="AC13" s="51">
        <f>SUM(Data!W$142:'Data'!$AL$142)</f>
        <v>74627737.969999939</v>
      </c>
      <c r="AD13" s="43">
        <f t="shared" ca="1" si="5"/>
        <v>6980782.90524894</v>
      </c>
      <c r="AE13" s="43">
        <f ca="1">AE14-L26</f>
        <v>239359.50524893729</v>
      </c>
      <c r="AF13" s="43">
        <f t="shared" ca="1" si="6"/>
        <v>6741423.4000000022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37641</v>
      </c>
      <c r="C14" s="53">
        <f t="shared" ca="1" si="7"/>
        <v>4990961</v>
      </c>
      <c r="D14" s="53">
        <f>-Data!BZ11</f>
        <v>0</v>
      </c>
      <c r="E14" s="53">
        <f t="shared" ca="1" si="8"/>
        <v>4990961</v>
      </c>
      <c r="F14" s="54">
        <f t="shared" ca="1" si="9"/>
        <v>132.5937408676709</v>
      </c>
      <c r="G14" s="30"/>
      <c r="H14" s="53">
        <f>+Data!$CA11</f>
        <v>4612761.2399999928</v>
      </c>
      <c r="I14" s="30"/>
      <c r="J14" s="55">
        <f t="shared" ca="1" si="10"/>
        <v>0.92422305844505548</v>
      </c>
      <c r="K14" s="30"/>
      <c r="L14" s="53">
        <f t="shared" ca="1" si="11"/>
        <v>378199.76000000723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10.04754815228095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4990961</v>
      </c>
      <c r="W14" s="53">
        <f ca="1">Log!$N43</f>
        <v>1247740</v>
      </c>
      <c r="X14" s="53">
        <f t="shared" ca="1" si="4"/>
        <v>4990961</v>
      </c>
      <c r="Y14" s="53">
        <f ca="1">SUM(X$11:X14)</f>
        <v>17447561</v>
      </c>
      <c r="Z14" s="66"/>
      <c r="AA14" s="610">
        <f t="shared" si="0"/>
        <v>44926</v>
      </c>
      <c r="AB14" s="51">
        <f ca="1">$Y25</f>
        <v>72013034.080940843</v>
      </c>
      <c r="AC14" s="51">
        <f>SUM(Data!X$142:'Data'!$AL$142)</f>
        <v>70230085.599999934</v>
      </c>
      <c r="AD14" s="43">
        <f t="shared" ca="1" si="5"/>
        <v>7014103.1084651276</v>
      </c>
      <c r="AE14" s="43">
        <f ca="1">AE15-L25</f>
        <v>278125.44846512796</v>
      </c>
      <c r="AF14" s="43">
        <f t="shared" ca="1" si="6"/>
        <v>6735977.6600000001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37790</v>
      </c>
      <c r="C15" s="53">
        <f t="shared" ca="1" si="7"/>
        <v>5424930</v>
      </c>
      <c r="D15" s="53">
        <f>-Data!BZ12</f>
        <v>0</v>
      </c>
      <c r="E15" s="53">
        <f t="shared" ca="1" si="8"/>
        <v>5424930</v>
      </c>
      <c r="F15" s="54">
        <f t="shared" ca="1" si="9"/>
        <v>143.55464408573698</v>
      </c>
      <c r="G15" s="30"/>
      <c r="H15" s="53">
        <f>+Data!$CA12</f>
        <v>5132941.4099999983</v>
      </c>
      <c r="I15" s="30"/>
      <c r="J15" s="55">
        <f t="shared" ca="1" si="10"/>
        <v>0.94617652393671403</v>
      </c>
      <c r="K15" s="30"/>
      <c r="L15" s="53">
        <f t="shared" ca="1" si="11"/>
        <v>291988.59000000171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7.7266099497221941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5424930</v>
      </c>
      <c r="W15" s="53">
        <f ca="1">Log!$N44</f>
        <v>5271415</v>
      </c>
      <c r="X15" s="53">
        <f t="shared" ca="1" si="4"/>
        <v>5424930</v>
      </c>
      <c r="Y15" s="53">
        <f ca="1">SUM(X$11:X15)</f>
        <v>22872491</v>
      </c>
      <c r="AA15" s="610">
        <f t="shared" si="0"/>
        <v>44957</v>
      </c>
      <c r="AB15" s="51">
        <f ca="1">$Y24</f>
        <v>67657992.946399733</v>
      </c>
      <c r="AC15" s="51">
        <f>SUM(Data!Y$142:'Data'!$AL$142)</f>
        <v>65763469.949999928</v>
      </c>
      <c r="AD15" s="43">
        <f t="shared" ca="1" si="5"/>
        <v>6902528.5930062309</v>
      </c>
      <c r="AE15" s="43">
        <f ca="1">AE16-L24</f>
        <v>321984.24300624756</v>
      </c>
      <c r="AF15" s="43">
        <f t="shared" ca="1" si="6"/>
        <v>6580544.3499999829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39598</v>
      </c>
      <c r="C16" s="53">
        <f t="shared" ca="1" si="7"/>
        <v>5904777</v>
      </c>
      <c r="D16" s="53">
        <f>-Data!BZ13</f>
        <v>0</v>
      </c>
      <c r="E16" s="53">
        <f t="shared" ca="1" si="8"/>
        <v>5904777</v>
      </c>
      <c r="F16" s="54">
        <f t="shared" ca="1" si="9"/>
        <v>149.11806151825849</v>
      </c>
      <c r="G16" s="30"/>
      <c r="H16" s="53">
        <f>+Data!$CA13</f>
        <v>5628476.9799999958</v>
      </c>
      <c r="I16" s="30"/>
      <c r="J16" s="55">
        <f t="shared" ca="1" si="10"/>
        <v>0.95320737430050206</v>
      </c>
      <c r="K16" s="30"/>
      <c r="L16" s="53">
        <f t="shared" ca="1" si="11"/>
        <v>276300.02000000421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6.9776256376585737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5904777</v>
      </c>
      <c r="W16" s="53">
        <f ca="1">Log!$N45</f>
        <v>5612186</v>
      </c>
      <c r="X16" s="53">
        <f t="shared" ca="1" si="4"/>
        <v>5904777</v>
      </c>
      <c r="Y16" s="53">
        <f ca="1">SUM(X$11:X16)</f>
        <v>28777268</v>
      </c>
      <c r="Z16" s="66"/>
      <c r="AA16" s="610">
        <f t="shared" si="0"/>
        <v>44985</v>
      </c>
      <c r="AB16" s="51">
        <f ca="1">$Y23</f>
        <v>63241912.650778607</v>
      </c>
      <c r="AC16" s="51">
        <f>SUM(Data!Z$142:'Data'!$AL$142)</f>
        <v>61754130.589999929</v>
      </c>
      <c r="AD16" s="43">
        <f t="shared" ca="1" si="5"/>
        <v>7309269.5286273584</v>
      </c>
      <c r="AE16" s="43">
        <f ca="1">AE17-L23</f>
        <v>375576.30862738239</v>
      </c>
      <c r="AF16" s="43">
        <f t="shared" ca="1" si="6"/>
        <v>6933693.2199999765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39369</v>
      </c>
      <c r="C17" s="53">
        <f t="shared" ca="1" si="7"/>
        <v>5090386</v>
      </c>
      <c r="D17" s="53">
        <f>-Data!BZ14</f>
        <v>0</v>
      </c>
      <c r="E17" s="53">
        <f t="shared" ca="1" si="8"/>
        <v>5090386</v>
      </c>
      <c r="F17" s="54">
        <f t="shared" ca="1" si="9"/>
        <v>129.29934720211332</v>
      </c>
      <c r="G17" s="30"/>
      <c r="H17" s="53">
        <f>+Data!$CA14</f>
        <v>4885085.5199999968</v>
      </c>
      <c r="I17" s="30"/>
      <c r="J17" s="55">
        <f t="shared" ca="1" si="10"/>
        <v>0.95966897598728207</v>
      </c>
      <c r="K17" s="30"/>
      <c r="L17" s="53">
        <f t="shared" ca="1" si="11"/>
        <v>205300.48000000324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5.2147750768371877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5090386</v>
      </c>
      <c r="W17" s="53">
        <f ca="1">Log!$N46</f>
        <v>5044140</v>
      </c>
      <c r="X17" s="53">
        <f t="shared" ca="1" si="4"/>
        <v>5090386</v>
      </c>
      <c r="Y17" s="53">
        <f ca="1">SUM(X$11:X17)</f>
        <v>33867654</v>
      </c>
      <c r="Z17" s="66"/>
      <c r="AA17" s="610">
        <f t="shared" si="0"/>
        <v>45016</v>
      </c>
      <c r="AB17" s="51">
        <f ca="1">$Y22</f>
        <v>58183978</v>
      </c>
      <c r="AC17" s="51">
        <f>SUM(Data!AA$142:'Data'!$AL$142)</f>
        <v>56676646.809999958</v>
      </c>
      <c r="AD17" s="43">
        <f t="shared" ca="1" si="5"/>
        <v>7289720.3994059935</v>
      </c>
      <c r="AE17" s="43">
        <f ca="1">AE18-L22</f>
        <v>448934.8894059998</v>
      </c>
      <c r="AF17" s="43">
        <f t="shared" ca="1" si="6"/>
        <v>6840785.5099999942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39172</v>
      </c>
      <c r="C18" s="53">
        <f t="shared" ca="1" si="7"/>
        <v>5248822</v>
      </c>
      <c r="D18" s="53">
        <f>-Data!BZ15</f>
        <v>0</v>
      </c>
      <c r="E18" s="53">
        <f t="shared" ca="1" si="8"/>
        <v>5248822</v>
      </c>
      <c r="F18" s="54">
        <f t="shared" ca="1" si="9"/>
        <v>133.99423057285816</v>
      </c>
      <c r="G18" s="30"/>
      <c r="H18" s="53">
        <f>+Data!$CA15</f>
        <v>5070741.000000014</v>
      </c>
      <c r="I18" s="30"/>
      <c r="J18" s="55">
        <f t="shared" ca="1" si="10"/>
        <v>0.96607219677101142</v>
      </c>
      <c r="K18" s="30"/>
      <c r="L18" s="53">
        <f t="shared" ca="1" si="11"/>
        <v>178080.99999998603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4.5461298886956509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5248822</v>
      </c>
      <c r="W18" s="53">
        <f ca="1">Log!$N47</f>
        <v>5337464</v>
      </c>
      <c r="X18" s="53">
        <f t="shared" ca="1" si="4"/>
        <v>5248822</v>
      </c>
      <c r="Y18" s="53">
        <f ca="1">SUM(X$11:X18)</f>
        <v>39116476</v>
      </c>
      <c r="AA18" s="610">
        <f t="shared" si="0"/>
        <v>45046</v>
      </c>
      <c r="AB18" s="51">
        <f ca="1">$Y21</f>
        <v>53644809</v>
      </c>
      <c r="AC18" s="51">
        <f>SUM(Data!AB$142:'Data'!$AL$142)</f>
        <v>52522570.939999953</v>
      </c>
      <c r="AD18" s="43">
        <f t="shared" ca="1" si="5"/>
        <v>7674813.5294059888</v>
      </c>
      <c r="AE18" s="43">
        <f ca="1">AE19-L21</f>
        <v>526363.13940599887</v>
      </c>
      <c r="AF18" s="43">
        <f t="shared" ca="1" si="6"/>
        <v>7148450.3899999894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39003</v>
      </c>
      <c r="C19" s="53">
        <f t="shared" ca="1" si="7"/>
        <v>4798564</v>
      </c>
      <c r="D19" s="53">
        <f>-Data!BZ16</f>
        <v>0</v>
      </c>
      <c r="E19" s="53">
        <f t="shared" ca="1" si="8"/>
        <v>4798564</v>
      </c>
      <c r="F19" s="54">
        <f t="shared" ca="1" si="9"/>
        <v>123.03063866882034</v>
      </c>
      <c r="G19" s="30"/>
      <c r="H19" s="53">
        <f>+Data!$CA16</f>
        <v>4661068.5199999847</v>
      </c>
      <c r="I19" s="30"/>
      <c r="J19" s="55">
        <f t="shared" ca="1" si="10"/>
        <v>0.97134653617206823</v>
      </c>
      <c r="K19" s="30"/>
      <c r="L19" s="53">
        <f t="shared" ca="1" si="11"/>
        <v>137495.48000001535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3.5252539548243815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4798564</v>
      </c>
      <c r="W19" s="53">
        <f ca="1">Log!$N48</f>
        <v>4835215</v>
      </c>
      <c r="X19" s="53">
        <f t="shared" ca="1" si="4"/>
        <v>4798564</v>
      </c>
      <c r="Y19" s="53">
        <f ca="1">SUM(X$11:X19)</f>
        <v>43915040</v>
      </c>
      <c r="Z19" s="66"/>
      <c r="AA19" s="610">
        <f t="shared" si="0"/>
        <v>45077</v>
      </c>
      <c r="AB19" s="51">
        <f ca="1">$Y20</f>
        <v>48838180</v>
      </c>
      <c r="AC19" s="51">
        <f>SUM(Data!AC$142:'Data'!$AL$142)</f>
        <v>47869178.329999954</v>
      </c>
      <c r="AD19" s="43">
        <f t="shared" ca="1" si="5"/>
        <v>7828049.9194059893</v>
      </c>
      <c r="AE19" s="43">
        <f ca="1">AE20-L20</f>
        <v>623772.52940599946</v>
      </c>
      <c r="AF19" s="43">
        <f t="shared" ca="1" si="6"/>
        <v>7204277.3899999894</v>
      </c>
      <c r="AH19" s="28" t="s">
        <v>428</v>
      </c>
      <c r="AI19" s="178">
        <v>2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38909</v>
      </c>
      <c r="C20" s="53">
        <f t="shared" ca="1" si="7"/>
        <v>4923140</v>
      </c>
      <c r="D20" s="53">
        <f>-Data!BZ17</f>
        <v>0</v>
      </c>
      <c r="E20" s="53">
        <f t="shared" ca="1" si="8"/>
        <v>4923140</v>
      </c>
      <c r="F20" s="54">
        <f t="shared" ca="1" si="9"/>
        <v>126.52959469531471</v>
      </c>
      <c r="G20" s="30"/>
      <c r="H20" s="53">
        <f>+Data!$CA17</f>
        <v>4804281.4399999911</v>
      </c>
      <c r="I20" s="30"/>
      <c r="J20" s="55">
        <f t="shared" ca="1" si="10"/>
        <v>0.97585716433008018</v>
      </c>
      <c r="K20" s="30"/>
      <c r="L20" s="53">
        <f t="shared" ca="1" si="11"/>
        <v>118858.5600000089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3.0547832121105376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4923140</v>
      </c>
      <c r="W20" s="53">
        <f ca="1">Log!$N49</f>
        <v>4993184</v>
      </c>
      <c r="X20" s="53">
        <f t="shared" ca="1" si="4"/>
        <v>4923140</v>
      </c>
      <c r="Y20" s="53">
        <f ca="1">SUM(X$11:X20)</f>
        <v>48838180</v>
      </c>
      <c r="Z20" s="66"/>
      <c r="AA20" s="610">
        <f t="shared" si="0"/>
        <v>45107</v>
      </c>
      <c r="AB20" s="51">
        <f ca="1">$Y19</f>
        <v>43915040</v>
      </c>
      <c r="AC20" s="51">
        <f>SUM(Data!AD$142:'Data'!$AL$142)</f>
        <v>43065976.98999995</v>
      </c>
      <c r="AD20" s="43">
        <f t="shared" ca="1" si="5"/>
        <v>7947988.5794059858</v>
      </c>
      <c r="AE20" s="43">
        <f ca="1">AE21-L19</f>
        <v>742631.08940600837</v>
      </c>
      <c r="AF20" s="43">
        <f t="shared" ca="1" si="6"/>
        <v>7205357.4899999779</v>
      </c>
      <c r="AI20" t="str">
        <f>CHOOSE(AI19,AH5,AH6,AH7,AH8,AH9,AH10,AH11,AH12,AH13,AH14,AH15,AH16,AH17,AH18)</f>
        <v>6 Month Method</v>
      </c>
    </row>
    <row r="21" spans="1:41" ht="11.1" customHeight="1" x14ac:dyDescent="0.2">
      <c r="A21" s="52">
        <f>Data!$AN18</f>
        <v>45047</v>
      </c>
      <c r="B21" s="35">
        <f>+Data!AO18</f>
        <v>38658</v>
      </c>
      <c r="C21" s="53">
        <f t="shared" ca="1" si="7"/>
        <v>4806629</v>
      </c>
      <c r="D21" s="53">
        <f>-Data!BZ18</f>
        <v>0</v>
      </c>
      <c r="E21" s="53">
        <f t="shared" ca="1" si="8"/>
        <v>4806629</v>
      </c>
      <c r="F21" s="54">
        <f t="shared" ca="1" si="9"/>
        <v>124.33723938124062</v>
      </c>
      <c r="G21" s="30"/>
      <c r="H21" s="53">
        <f>+Data!$CA18</f>
        <v>4709219.6099999994</v>
      </c>
      <c r="I21" s="30"/>
      <c r="J21" s="55">
        <f t="shared" ca="1" si="10"/>
        <v>0.97973436476998732</v>
      </c>
      <c r="K21" s="30"/>
      <c r="L21" s="53">
        <f t="shared" ca="1" si="11"/>
        <v>97409.390000000596</v>
      </c>
      <c r="M21" s="178" t="str">
        <f t="shared" ca="1" si="12"/>
        <v/>
      </c>
      <c r="Q21" s="52">
        <f t="shared" si="1"/>
        <v>45047</v>
      </c>
      <c r="R21" s="54">
        <f t="shared" ca="1" si="2"/>
        <v>2.5197731388069893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4806629</v>
      </c>
      <c r="W21" s="116">
        <f ca="1">V21</f>
        <v>4806629</v>
      </c>
      <c r="X21" s="53">
        <f t="shared" ca="1" si="4"/>
        <v>4806629</v>
      </c>
      <c r="Y21" s="53">
        <f ca="1">SUM(X$11:X21)</f>
        <v>53644809</v>
      </c>
      <c r="AA21" s="610">
        <f t="shared" si="0"/>
        <v>45138</v>
      </c>
      <c r="AB21" s="51">
        <f ca="1">$Y18</f>
        <v>39116476</v>
      </c>
      <c r="AC21" s="51">
        <f>SUM(Data!AE$142:'Data'!$AL$142)</f>
        <v>38540676.899999976</v>
      </c>
      <c r="AD21" s="43">
        <f t="shared" ca="1" si="5"/>
        <v>8221252.489406012</v>
      </c>
      <c r="AE21" s="43">
        <f ca="1">AE22-L18</f>
        <v>880126.56940602371</v>
      </c>
      <c r="AF21" s="43">
        <f t="shared" ca="1" si="6"/>
        <v>7341125.9199999887</v>
      </c>
    </row>
    <row r="22" spans="1:41" ht="11.1" customHeight="1" x14ac:dyDescent="0.2">
      <c r="A22" s="52">
        <f>Data!$AN19</f>
        <v>45017</v>
      </c>
      <c r="B22" s="35">
        <f>+Data!AO19</f>
        <v>38271</v>
      </c>
      <c r="C22" s="53">
        <f t="shared" ca="1" si="7"/>
        <v>4539169</v>
      </c>
      <c r="D22" s="53">
        <f>-Data!BZ19</f>
        <v>0</v>
      </c>
      <c r="E22" s="53">
        <f t="shared" ca="1" si="8"/>
        <v>4539169</v>
      </c>
      <c r="F22" s="54">
        <f t="shared" ca="1" si="9"/>
        <v>118.6059679653001</v>
      </c>
      <c r="G22" s="30"/>
      <c r="H22" s="53">
        <f>+Data!$CA19</f>
        <v>4461740.7500000009</v>
      </c>
      <c r="I22" s="30"/>
      <c r="J22" s="55">
        <f t="shared" ca="1" si="10"/>
        <v>0.98294219712903419</v>
      </c>
      <c r="K22" s="30"/>
      <c r="L22" s="53">
        <f t="shared" ca="1" si="11"/>
        <v>77428.249999999069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2.0231572208721764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4539169</v>
      </c>
      <c r="W22" s="116">
        <f ca="1">V22</f>
        <v>4539169</v>
      </c>
      <c r="X22" s="53">
        <f t="shared" ca="1" si="4"/>
        <v>4539169</v>
      </c>
      <c r="Y22" s="53">
        <f ca="1">SUM(X$11:X22)</f>
        <v>58183978</v>
      </c>
      <c r="Z22" s="66"/>
      <c r="AA22" s="610">
        <f t="shared" si="0"/>
        <v>45169</v>
      </c>
      <c r="AB22" s="51">
        <f ca="1">$Y17</f>
        <v>33867654</v>
      </c>
      <c r="AC22" s="51">
        <f>SUM(Data!AF$142:'Data'!$AL$142)</f>
        <v>33829361.139999986</v>
      </c>
      <c r="AD22" s="43">
        <f t="shared" ca="1" si="5"/>
        <v>8758758.7294060215</v>
      </c>
      <c r="AE22" s="43">
        <f ca="1">AE23-L17</f>
        <v>1058207.5694060097</v>
      </c>
      <c r="AF22" s="43">
        <f t="shared" ca="1" si="6"/>
        <v>7700551.1600000113</v>
      </c>
    </row>
    <row r="23" spans="1:41" ht="11.1" customHeight="1" x14ac:dyDescent="0.2">
      <c r="A23" s="52">
        <f>Data!$AN20</f>
        <v>44986</v>
      </c>
      <c r="B23" s="35">
        <f>+Data!AO20</f>
        <v>37869</v>
      </c>
      <c r="C23" s="53">
        <f t="shared" si="7"/>
        <v>5057934.6507786037</v>
      </c>
      <c r="D23" s="53">
        <f>-Data!BZ20</f>
        <v>0</v>
      </c>
      <c r="E23" s="53">
        <f t="shared" si="8"/>
        <v>5057934.6507786037</v>
      </c>
      <c r="F23" s="54">
        <f t="shared" si="9"/>
        <v>133.5639877149807</v>
      </c>
      <c r="G23" s="30"/>
      <c r="H23" s="53">
        <f>+Data!$CA20</f>
        <v>4984576.0699999863</v>
      </c>
      <c r="I23" s="30"/>
      <c r="J23" s="55">
        <f t="shared" si="10"/>
        <v>0.98549633677704307</v>
      </c>
      <c r="K23" s="30"/>
      <c r="L23" s="53">
        <f t="shared" si="11"/>
        <v>73358.580778617412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5057934.6507786037</v>
      </c>
      <c r="Y23" s="53">
        <f ca="1">SUM(X$11:X23)</f>
        <v>63241912.650778607</v>
      </c>
      <c r="Z23" s="66"/>
      <c r="AA23" s="610">
        <f t="shared" si="0"/>
        <v>45199</v>
      </c>
      <c r="AB23" s="51">
        <f ca="1">$Y16</f>
        <v>28777268</v>
      </c>
      <c r="AC23" s="51">
        <f>SUM(Data!AG$142:'Data'!$AL$142)</f>
        <v>28803353.719999973</v>
      </c>
      <c r="AD23" s="43">
        <f t="shared" ca="1" si="5"/>
        <v>8823137.3094060086</v>
      </c>
      <c r="AE23" s="43">
        <f ca="1">AE24-L16</f>
        <v>1263508.049406013</v>
      </c>
      <c r="AF23" s="43">
        <f t="shared" ca="1" si="6"/>
        <v>7559629.2599999961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37591</v>
      </c>
      <c r="C24" s="53">
        <f t="shared" si="7"/>
        <v>4416080.295621125</v>
      </c>
      <c r="D24" s="53">
        <f>-Data!BZ21</f>
        <v>0</v>
      </c>
      <c r="E24" s="53">
        <f t="shared" si="8"/>
        <v>4416080.295621125</v>
      </c>
      <c r="F24" s="54">
        <f t="shared" si="9"/>
        <v>117.47706354236719</v>
      </c>
      <c r="G24" s="30"/>
      <c r="H24" s="53">
        <f>+Data!$CA21</f>
        <v>4362488.2299999902</v>
      </c>
      <c r="I24" s="30"/>
      <c r="J24" s="55">
        <f t="shared" si="10"/>
        <v>0.98786433623630543</v>
      </c>
      <c r="K24" s="30"/>
      <c r="L24" s="53">
        <f t="shared" si="11"/>
        <v>53592.065621134825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4416080.295621125</v>
      </c>
      <c r="Y24" s="53">
        <f ca="1">SUM(X$11:X24)</f>
        <v>67657992.946399733</v>
      </c>
      <c r="Z24" s="66"/>
      <c r="AA24" s="610">
        <f t="shared" si="0"/>
        <v>45230</v>
      </c>
      <c r="AB24" s="51">
        <f ca="1">$Y15</f>
        <v>22872491</v>
      </c>
      <c r="AC24" s="51">
        <f>SUM(Data!AH$142:'Data'!$AL$142)</f>
        <v>23157989.259999987</v>
      </c>
      <c r="AD24" s="43">
        <f t="shared" ca="1" si="5"/>
        <v>9082549.8494060226</v>
      </c>
      <c r="AE24" s="43">
        <f ca="1">AE25-L15</f>
        <v>1539808.0694060172</v>
      </c>
      <c r="AF24" s="43">
        <f t="shared" ca="1" si="6"/>
        <v>7542741.7800000049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37539</v>
      </c>
      <c r="C25" s="53">
        <f t="shared" si="7"/>
        <v>4355041.134541112</v>
      </c>
      <c r="D25" s="53">
        <f>-Data!BZ22</f>
        <v>0</v>
      </c>
      <c r="E25" s="53">
        <f t="shared" si="8"/>
        <v>4355041.134541112</v>
      </c>
      <c r="F25" s="54">
        <f t="shared" si="9"/>
        <v>116.01377592746509</v>
      </c>
      <c r="G25" s="30"/>
      <c r="H25" s="53">
        <f>+Data!$CA22</f>
        <v>4311182.3399999924</v>
      </c>
      <c r="I25" s="30"/>
      <c r="J25" s="55">
        <f t="shared" si="10"/>
        <v>0.98992918937245789</v>
      </c>
      <c r="K25" s="30"/>
      <c r="L25" s="53">
        <f t="shared" si="11"/>
        <v>43858.794541119598</v>
      </c>
      <c r="M25" s="178" t="str">
        <f t="shared" si="12"/>
        <v/>
      </c>
      <c r="N25" s="59" t="str">
        <f ca="1">"IBNR Estimate =  "&amp;FIXED(+L47/SUM(C11:C13)*3,2,TRUE)&amp;"  Months"</f>
        <v>IBNR Estimate =  2.12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4355041.134541112</v>
      </c>
      <c r="Y25" s="53">
        <f ca="1">SUM(X$11:X25)</f>
        <v>72013034.080940843</v>
      </c>
      <c r="Z25" s="66"/>
      <c r="AA25" s="610">
        <f t="shared" si="0"/>
        <v>45260</v>
      </c>
      <c r="AB25" s="51">
        <f ca="1">$Y14</f>
        <v>17447561</v>
      </c>
      <c r="AC25" s="51">
        <f>SUM(Data!AI$142:'Data'!$AL$142)</f>
        <v>17931120.759999983</v>
      </c>
      <c r="AD25" s="43">
        <f t="shared" ca="1" si="5"/>
        <v>9280611.3494060189</v>
      </c>
      <c r="AE25" s="43">
        <f ca="1">AE26-L14</f>
        <v>1831796.6594060189</v>
      </c>
      <c r="AF25" s="43">
        <f t="shared" ca="1" si="6"/>
        <v>7448814.6899999995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36964</v>
      </c>
      <c r="C26" s="53">
        <f t="shared" si="7"/>
        <v>4430972.5732161999</v>
      </c>
      <c r="D26" s="53">
        <f>-Data!BZ23</f>
        <v>0</v>
      </c>
      <c r="E26" s="53">
        <f t="shared" si="8"/>
        <v>4430972.5732161999</v>
      </c>
      <c r="F26" s="54">
        <f t="shared" si="9"/>
        <v>119.87264833936263</v>
      </c>
      <c r="G26" s="30"/>
      <c r="H26" s="53">
        <f>+Data!$CA23</f>
        <v>4392206.6300000092</v>
      </c>
      <c r="I26" s="30"/>
      <c r="J26" s="55">
        <f t="shared" si="10"/>
        <v>0.99125114349600851</v>
      </c>
      <c r="K26" s="30"/>
      <c r="L26" s="53">
        <f t="shared" si="11"/>
        <v>38765.943216190673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4430972.5732161999</v>
      </c>
      <c r="Y26" s="53">
        <f ca="1">SUM(X$11:X26)</f>
        <v>76444006.654157043</v>
      </c>
      <c r="Z26" s="66"/>
      <c r="AA26" s="610">
        <f t="shared" si="0"/>
        <v>45291</v>
      </c>
      <c r="AB26" s="51">
        <f ca="1">$Y13</f>
        <v>12456600</v>
      </c>
      <c r="AC26" s="51">
        <f>SUM(Data!AJ$142:'Data'!$AL$142)</f>
        <v>12597173.03999998</v>
      </c>
      <c r="AD26" s="43">
        <f t="shared" ca="1" si="5"/>
        <v>8937624.6294060163</v>
      </c>
      <c r="AE26" s="43">
        <f ca="1">AE27-L13</f>
        <v>2209996.4194060261</v>
      </c>
      <c r="AF26" s="43">
        <f t="shared" ca="1" si="6"/>
        <v>6727628.2099999897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36903</v>
      </c>
      <c r="C27" s="53">
        <f t="shared" si="7"/>
        <v>4411169.1811832916</v>
      </c>
      <c r="D27" s="53">
        <f>-Data!BZ24</f>
        <v>0</v>
      </c>
      <c r="E27" s="53">
        <f t="shared" si="8"/>
        <v>4411169.1811832916</v>
      </c>
      <c r="F27" s="54">
        <f t="shared" si="9"/>
        <v>119.53416202431487</v>
      </c>
      <c r="G27" s="30"/>
      <c r="H27" s="53">
        <f>+Data!$CA24</f>
        <v>4375399.0900000129</v>
      </c>
      <c r="I27" s="30"/>
      <c r="J27" s="55">
        <f t="shared" si="10"/>
        <v>0.99189101806934477</v>
      </c>
      <c r="K27" s="30"/>
      <c r="L27" s="53">
        <f t="shared" si="11"/>
        <v>35770.09118327871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4411169.1811832916</v>
      </c>
      <c r="Y27" s="53">
        <f ca="1">SUM(X$11:X27)</f>
        <v>80855175.835340336</v>
      </c>
      <c r="Z27" s="66"/>
      <c r="AA27" s="610">
        <f t="shared" si="0"/>
        <v>45322</v>
      </c>
      <c r="AB27" s="51">
        <f ca="1">$Y12</f>
        <v>8326884</v>
      </c>
      <c r="AC27" s="51">
        <f>SUM(Data!AK$142:'Data'!$AL$142)</f>
        <v>7201203.8599999901</v>
      </c>
      <c r="AD27" s="43">
        <f t="shared" ca="1" si="5"/>
        <v>7671371.4494060259</v>
      </c>
      <c r="AE27" s="43">
        <f ca="1">AE28-L12</f>
        <v>2861037.2794060339</v>
      </c>
      <c r="AF27" s="43">
        <f t="shared" ca="1" si="6"/>
        <v>4810334.1699999925</v>
      </c>
    </row>
    <row r="28" spans="1:41" ht="11.1" customHeight="1" x14ac:dyDescent="0.2">
      <c r="A28" s="52">
        <f>Data!$AN25</f>
        <v>44835</v>
      </c>
      <c r="B28" s="35">
        <f>+Data!AO25</f>
        <v>36846</v>
      </c>
      <c r="C28" s="53">
        <f t="shared" si="7"/>
        <v>4688230.1524083707</v>
      </c>
      <c r="D28" s="53">
        <f>-Data!BZ25</f>
        <v>0</v>
      </c>
      <c r="E28" s="53">
        <f t="shared" si="8"/>
        <v>4688230.1524083707</v>
      </c>
      <c r="F28" s="54">
        <f t="shared" si="9"/>
        <v>127.23851035141863</v>
      </c>
      <c r="G28" s="30"/>
      <c r="H28" s="53">
        <f>+Data!$CA25</f>
        <v>4654030.8600000069</v>
      </c>
      <c r="I28" s="30"/>
      <c r="J28" s="55">
        <f t="shared" si="10"/>
        <v>0.99270528721999807</v>
      </c>
      <c r="K28" s="30"/>
      <c r="L28" s="53">
        <f t="shared" si="11"/>
        <v>34199.292408363894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4688230.1524083707</v>
      </c>
      <c r="Y28" s="53">
        <f ca="1">SUM(X$11:X28)</f>
        <v>85543405.987748712</v>
      </c>
      <c r="Z28" s="66"/>
      <c r="AA28" s="610">
        <f t="shared" ref="AA28" si="14">DATE(YEAR(AA29),MONTH(AA29),1)-1</f>
        <v>45351</v>
      </c>
      <c r="AB28" s="51">
        <f ca="1">$Y11</f>
        <v>4467229</v>
      </c>
      <c r="AC28" s="51">
        <f>Data!$AL$142</f>
        <v>3877540.2099999972</v>
      </c>
      <c r="AD28" s="43">
        <f ca="1">$L$47-AB28+AC28</f>
        <v>8207362.799406033</v>
      </c>
      <c r="AE28" s="43">
        <f ca="1">AE29-L11</f>
        <v>4901094.1094060354</v>
      </c>
      <c r="AF28" s="43">
        <f t="shared" ca="1" si="6"/>
        <v>3306268.6899999976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35855</v>
      </c>
      <c r="C29" s="53">
        <f t="shared" si="7"/>
        <v>4499385.4718065085</v>
      </c>
      <c r="D29" s="53">
        <f>-Data!BZ26</f>
        <v>0</v>
      </c>
      <c r="E29" s="53">
        <f t="shared" ref="E29:E46" si="15">C29+D29</f>
        <v>4499385.4718065085</v>
      </c>
      <c r="F29" s="54">
        <f t="shared" ref="F29:F46" si="16">IF(B29=0,0,E29/B29)</f>
        <v>125.48836903657812</v>
      </c>
      <c r="G29" s="30"/>
      <c r="H29" s="53">
        <f>+Data!$CA26</f>
        <v>4471030.9000000125</v>
      </c>
      <c r="I29" s="30"/>
      <c r="J29" s="55">
        <f t="shared" si="10"/>
        <v>0.99369812344726449</v>
      </c>
      <c r="K29" s="30"/>
      <c r="L29" s="53">
        <f t="shared" si="11"/>
        <v>28354.571806496009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4499385.4718065085</v>
      </c>
      <c r="Y29" s="53">
        <f ca="1">SUM(X$11:X29)</f>
        <v>90042791.459555224</v>
      </c>
      <c r="Z29" s="66"/>
      <c r="AA29" s="100">
        <f>C3</f>
        <v>45382</v>
      </c>
      <c r="AD29" s="43">
        <f ca="1">L47</f>
        <v>8797051.5894060358</v>
      </c>
      <c r="AE29" s="43">
        <f ca="1">L47</f>
        <v>8797051.5894060358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35634</v>
      </c>
      <c r="C30" s="53">
        <f t="shared" si="7"/>
        <v>4602626.9710724428</v>
      </c>
      <c r="D30" s="53">
        <f>-Data!BZ27</f>
        <v>0</v>
      </c>
      <c r="E30" s="53">
        <f t="shared" si="15"/>
        <v>4602626.9710724428</v>
      </c>
      <c r="F30" s="54">
        <f t="shared" si="16"/>
        <v>129.16391567246009</v>
      </c>
      <c r="G30" s="30"/>
      <c r="H30" s="53">
        <f>+Data!$CA27</f>
        <v>4576387.1400000164</v>
      </c>
      <c r="I30" s="30"/>
      <c r="J30" s="55">
        <f t="shared" si="10"/>
        <v>0.99429894465979018</v>
      </c>
      <c r="K30" s="30"/>
      <c r="L30" s="53">
        <f t="shared" si="11"/>
        <v>26239.831072426401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4602626.9710724428</v>
      </c>
      <c r="Y30" s="53">
        <f ca="1">SUM(X$11:X30)</f>
        <v>94645418.430627674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35445</v>
      </c>
      <c r="C31" s="53">
        <f t="shared" si="7"/>
        <v>4044532.9962525791</v>
      </c>
      <c r="D31" s="53">
        <f>-Data!BZ28</f>
        <v>0</v>
      </c>
      <c r="E31" s="53">
        <f t="shared" si="15"/>
        <v>4044532.9962525791</v>
      </c>
      <c r="F31" s="54">
        <f t="shared" si="16"/>
        <v>114.10729288341315</v>
      </c>
      <c r="G31" s="30"/>
      <c r="H31" s="53">
        <f>+Data!$CA28</f>
        <v>4023769.4900000077</v>
      </c>
      <c r="I31" s="30"/>
      <c r="J31" s="55">
        <f t="shared" si="10"/>
        <v>0.99486627843763187</v>
      </c>
      <c r="K31" s="30"/>
      <c r="L31" s="53">
        <f t="shared" si="11"/>
        <v>20763.506252571475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4044532.9962525791</v>
      </c>
      <c r="Y31" s="53">
        <f ca="1">SUM(X$11:X31)</f>
        <v>98689951.426880255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35204</v>
      </c>
      <c r="C32" s="53">
        <f t="shared" si="7"/>
        <v>4164705.7850475973</v>
      </c>
      <c r="D32" s="53">
        <f>-Data!BZ29</f>
        <v>0</v>
      </c>
      <c r="E32" s="53">
        <f t="shared" si="15"/>
        <v>4164705.7850475973</v>
      </c>
      <c r="F32" s="54">
        <f t="shared" si="16"/>
        <v>118.30206184091573</v>
      </c>
      <c r="G32" s="30"/>
      <c r="H32" s="53">
        <f>+Data!$CA29</f>
        <v>4145111.1000000094</v>
      </c>
      <c r="I32" s="30"/>
      <c r="J32" s="55">
        <f t="shared" si="10"/>
        <v>0.9952950613899455</v>
      </c>
      <c r="K32" s="30"/>
      <c r="L32" s="53">
        <f t="shared" si="11"/>
        <v>19594.685047587845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4164705.7850475973</v>
      </c>
      <c r="Y32" s="53">
        <f ca="1">SUM(X$11:X32)</f>
        <v>102854657.21192785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35020</v>
      </c>
      <c r="C33" s="53">
        <f t="shared" si="7"/>
        <v>4050623.8446509261</v>
      </c>
      <c r="D33" s="53">
        <f>-Data!BZ30</f>
        <v>0</v>
      </c>
      <c r="E33" s="53">
        <f t="shared" si="15"/>
        <v>4050623.8446509261</v>
      </c>
      <c r="F33" s="54">
        <f t="shared" si="16"/>
        <v>115.66601498146562</v>
      </c>
      <c r="G33" s="30"/>
      <c r="H33" s="53">
        <f>+Data!$CA30</f>
        <v>4033103.6400000071</v>
      </c>
      <c r="I33" s="30"/>
      <c r="J33" s="55">
        <f t="shared" si="10"/>
        <v>0.99567468979523854</v>
      </c>
      <c r="K33" s="30"/>
      <c r="L33" s="53">
        <f t="shared" si="11"/>
        <v>17520.204650918953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4050623.8446509261</v>
      </c>
      <c r="Y33" s="53">
        <f ca="1">SUM(X$11:X33)</f>
        <v>106905281.05657877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34912</v>
      </c>
      <c r="C34" s="53">
        <f t="shared" si="7"/>
        <v>3964823.8155994257</v>
      </c>
      <c r="D34" s="53">
        <f>-Data!BZ31</f>
        <v>0</v>
      </c>
      <c r="E34" s="53">
        <f t="shared" si="15"/>
        <v>3964823.8155994257</v>
      </c>
      <c r="F34" s="54">
        <f t="shared" si="16"/>
        <v>113.56621836616137</v>
      </c>
      <c r="G34" s="30"/>
      <c r="H34" s="53">
        <f>+Data!$CA31</f>
        <v>3950978.1900000079</v>
      </c>
      <c r="I34" s="30"/>
      <c r="J34" s="55">
        <f t="shared" si="10"/>
        <v>0.99650788376902322</v>
      </c>
      <c r="K34" s="30"/>
      <c r="L34" s="53">
        <f t="shared" si="11"/>
        <v>13845.625599417835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3964823.8155994257</v>
      </c>
      <c r="Y34" s="53">
        <f ca="1">SUM(X$11:X34)</f>
        <v>110870104.8721782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34838</v>
      </c>
      <c r="C35" s="53">
        <f t="shared" si="7"/>
        <v>4337062.4982257327</v>
      </c>
      <c r="D35" s="53">
        <f>-Data!BZ32</f>
        <v>0</v>
      </c>
      <c r="E35" s="53">
        <f t="shared" si="15"/>
        <v>4337062.4982257327</v>
      </c>
      <c r="F35" s="54">
        <f t="shared" si="16"/>
        <v>124.49229284762997</v>
      </c>
      <c r="G35" s="30"/>
      <c r="H35" s="53">
        <f>+Data!$CA32</f>
        <v>4328926.950000002</v>
      </c>
      <c r="I35" s="30"/>
      <c r="J35" s="55">
        <f t="shared" si="10"/>
        <v>0.99812418008062853</v>
      </c>
      <c r="K35" s="30"/>
      <c r="L35" s="53">
        <f t="shared" si="11"/>
        <v>8135.5482257306576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4337062.4982257327</v>
      </c>
      <c r="Y35" s="53">
        <f ca="1">SUM(X$11:X35)</f>
        <v>115207167.37040393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34805</v>
      </c>
      <c r="C36" s="53">
        <f t="shared" si="7"/>
        <v>3698542.2954556099</v>
      </c>
      <c r="D36" s="53">
        <f>-Data!BZ33</f>
        <v>0</v>
      </c>
      <c r="E36" s="53">
        <f t="shared" si="15"/>
        <v>3698542.2954556099</v>
      </c>
      <c r="F36" s="54">
        <f t="shared" si="16"/>
        <v>106.26468310460019</v>
      </c>
      <c r="G36" s="30"/>
      <c r="H36" s="53">
        <f>+Data!$CA33</f>
        <v>3692141.0800000052</v>
      </c>
      <c r="I36" s="30"/>
      <c r="J36" s="55">
        <f t="shared" si="10"/>
        <v>0.99826925990180782</v>
      </c>
      <c r="K36" s="30"/>
      <c r="L36" s="53">
        <f t="shared" si="11"/>
        <v>6401.2154556047171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3698542.2954556099</v>
      </c>
      <c r="Y36" s="53">
        <f ca="1">SUM(X$11:X36)</f>
        <v>118905709.66585954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34854</v>
      </c>
      <c r="C37" s="53">
        <f t="shared" si="7"/>
        <v>3580713.2476670295</v>
      </c>
      <c r="D37" s="53">
        <f>-Data!BZ34</f>
        <v>0</v>
      </c>
      <c r="E37" s="53">
        <f t="shared" si="15"/>
        <v>3580713.2476670295</v>
      </c>
      <c r="F37" s="54">
        <f t="shared" si="16"/>
        <v>102.7346430156375</v>
      </c>
      <c r="G37" s="30"/>
      <c r="H37" s="53">
        <f>+Data!$CA34</f>
        <v>3574534.7200000044</v>
      </c>
      <c r="I37" s="30"/>
      <c r="J37" s="55">
        <f t="shared" si="10"/>
        <v>0.99827449805676272</v>
      </c>
      <c r="K37" s="30"/>
      <c r="L37" s="53">
        <f t="shared" si="11"/>
        <v>6178.5276670251042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3580713.2476670295</v>
      </c>
      <c r="Y37" s="53">
        <f ca="1">SUM(X$11:X37)</f>
        <v>122486422.91352656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34368</v>
      </c>
      <c r="C38" s="53">
        <f t="shared" si="7"/>
        <v>3892381.5920008197</v>
      </c>
      <c r="D38" s="53">
        <f>-Data!BZ35</f>
        <v>0</v>
      </c>
      <c r="E38" s="53">
        <f t="shared" si="15"/>
        <v>3892381.5920008197</v>
      </c>
      <c r="F38" s="54">
        <f t="shared" si="16"/>
        <v>113.25598207637394</v>
      </c>
      <c r="G38" s="30"/>
      <c r="H38" s="53">
        <f>+Data!$CA35</f>
        <v>3885665.2800000012</v>
      </c>
      <c r="I38" s="30"/>
      <c r="J38" s="55">
        <f t="shared" si="10"/>
        <v>0.99827449805676272</v>
      </c>
      <c r="K38" s="30"/>
      <c r="L38" s="53">
        <f t="shared" si="11"/>
        <v>6716.3120008185506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3892381.5920008197</v>
      </c>
      <c r="Y38" s="53">
        <f ca="1">SUM(X$11:X38)</f>
        <v>126378804.50552738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34312</v>
      </c>
      <c r="C39" s="53">
        <f t="shared" si="7"/>
        <v>3966143.6236014315</v>
      </c>
      <c r="D39" s="53">
        <f>-Data!BZ36</f>
        <v>0</v>
      </c>
      <c r="E39" s="53">
        <f t="shared" si="15"/>
        <v>3966143.6236014315</v>
      </c>
      <c r="F39" s="54">
        <f t="shared" si="16"/>
        <v>115.59056958502657</v>
      </c>
      <c r="G39" s="30"/>
      <c r="H39" s="53">
        <f>+Data!$CA36</f>
        <v>3960536.4299999978</v>
      </c>
      <c r="I39" s="30"/>
      <c r="J39" s="55">
        <f t="shared" si="10"/>
        <v>0.99858623536271685</v>
      </c>
      <c r="K39" s="30"/>
      <c r="L39" s="53">
        <f t="shared" si="11"/>
        <v>5607.1936014336534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3966143.6236014315</v>
      </c>
      <c r="Y39" s="53">
        <f ca="1">SUM(X$11:X39)</f>
        <v>130344948.12912881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34275</v>
      </c>
      <c r="C40" s="53">
        <f t="shared" si="7"/>
        <v>4143824.1062588468</v>
      </c>
      <c r="D40" s="53">
        <f>-Data!BZ37</f>
        <v>0</v>
      </c>
      <c r="E40" s="53">
        <f t="shared" si="15"/>
        <v>4143824.1062588468</v>
      </c>
      <c r="F40" s="54">
        <f t="shared" si="16"/>
        <v>120.89931746925885</v>
      </c>
      <c r="G40" s="30"/>
      <c r="H40" s="53">
        <f>+Data!$CA37</f>
        <v>4139368.6699999976</v>
      </c>
      <c r="I40" s="30"/>
      <c r="J40" s="55">
        <f t="shared" si="10"/>
        <v>0.99892480082537294</v>
      </c>
      <c r="K40" s="30"/>
      <c r="L40" s="53">
        <f t="shared" si="11"/>
        <v>4455.4362588492222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4143824.1062588468</v>
      </c>
      <c r="Y40" s="53">
        <f ca="1">SUM(X$11:X40)</f>
        <v>134488772.23538765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34128</v>
      </c>
      <c r="C41" s="53">
        <f t="shared" si="7"/>
        <v>4017887.7921059667</v>
      </c>
      <c r="D41" s="53">
        <f>-Data!BZ38</f>
        <v>0</v>
      </c>
      <c r="E41" s="53">
        <f t="shared" si="15"/>
        <v>4017887.7921059667</v>
      </c>
      <c r="F41" s="54">
        <f t="shared" si="16"/>
        <v>117.72995171430985</v>
      </c>
      <c r="G41" s="30"/>
      <c r="H41" s="53">
        <f>+Data!$CA38</f>
        <v>4014606.4399999976</v>
      </c>
      <c r="I41" s="30"/>
      <c r="J41" s="55">
        <f t="shared" si="10"/>
        <v>0.99918331415018213</v>
      </c>
      <c r="K41" s="30"/>
      <c r="L41" s="53">
        <f t="shared" si="11"/>
        <v>3281.3521059690975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4017887.7921059667</v>
      </c>
      <c r="Y41" s="53">
        <f ca="1">SUM(X$11:X41)</f>
        <v>138506660.02749363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34003</v>
      </c>
      <c r="C42" s="53">
        <f t="shared" si="7"/>
        <v>3902507.5385429584</v>
      </c>
      <c r="D42" s="53">
        <f>-Data!BZ39</f>
        <v>0</v>
      </c>
      <c r="E42" s="53">
        <f t="shared" si="15"/>
        <v>3902507.5385429584</v>
      </c>
      <c r="F42" s="54">
        <f t="shared" si="16"/>
        <v>114.76950676537243</v>
      </c>
      <c r="G42" s="30"/>
      <c r="H42" s="53">
        <f>+Data!$CA39</f>
        <v>3900551.2699999944</v>
      </c>
      <c r="I42" s="30"/>
      <c r="J42" s="55">
        <f t="shared" si="10"/>
        <v>0.99949871498680198</v>
      </c>
      <c r="K42" s="30"/>
      <c r="L42" s="53">
        <f t="shared" si="11"/>
        <v>1956.2685429640114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3902507.5385429584</v>
      </c>
      <c r="Y42" s="53">
        <f ca="1">SUM(X$11:X42)</f>
        <v>142409167.56603658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33923</v>
      </c>
      <c r="C43" s="53">
        <f t="shared" si="7"/>
        <v>3673750.1315898956</v>
      </c>
      <c r="D43" s="53">
        <f>-Data!BZ40</f>
        <v>0</v>
      </c>
      <c r="E43" s="53">
        <f t="shared" si="15"/>
        <v>3673750.1315898956</v>
      </c>
      <c r="F43" s="54">
        <f t="shared" si="16"/>
        <v>108.29673471066521</v>
      </c>
      <c r="G43" s="30"/>
      <c r="H43" s="53">
        <f>+Data!$CA40</f>
        <v>3673464.629999999</v>
      </c>
      <c r="I43" s="30"/>
      <c r="J43" s="55">
        <f t="shared" si="10"/>
        <v>0.99992228606201561</v>
      </c>
      <c r="K43" s="30"/>
      <c r="L43" s="53">
        <f t="shared" si="11"/>
        <v>285.50158989662305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3673750.1315898956</v>
      </c>
      <c r="Y43" s="53">
        <f ca="1">SUM(X$11:X43)</f>
        <v>146082917.69762647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33715</v>
      </c>
      <c r="C44" s="53">
        <f t="shared" si="7"/>
        <v>3638184.9517795844</v>
      </c>
      <c r="D44" s="53">
        <f>-Data!BZ41</f>
        <v>0</v>
      </c>
      <c r="E44" s="53">
        <f t="shared" si="15"/>
        <v>3638184.9517795844</v>
      </c>
      <c r="F44" s="54">
        <f t="shared" si="16"/>
        <v>107.90997929051117</v>
      </c>
      <c r="G44" s="30"/>
      <c r="H44" s="53">
        <f>+Data!$CA41</f>
        <v>3638130.6099999989</v>
      </c>
      <c r="I44" s="30"/>
      <c r="J44" s="55">
        <f t="shared" si="10"/>
        <v>0.99998506349173955</v>
      </c>
      <c r="K44" s="30"/>
      <c r="L44" s="53">
        <f t="shared" si="11"/>
        <v>54.341779585462064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3638184.9517795844</v>
      </c>
      <c r="Y44" s="53">
        <f ca="1">SUM(X$11:X44)</f>
        <v>149721102.64940605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33625</v>
      </c>
      <c r="C45" s="53">
        <f t="shared" si="7"/>
        <v>3351579.1400000011</v>
      </c>
      <c r="D45" s="53">
        <f>-Data!BZ42</f>
        <v>0</v>
      </c>
      <c r="E45" s="53">
        <f t="shared" si="15"/>
        <v>3351579.1400000011</v>
      </c>
      <c r="F45" s="54">
        <f t="shared" si="16"/>
        <v>99.675216059479581</v>
      </c>
      <c r="G45" s="30"/>
      <c r="H45" s="53">
        <f>+Data!$CA42</f>
        <v>3351579.1400000011</v>
      </c>
      <c r="I45" s="30"/>
      <c r="J45" s="55">
        <f t="shared" si="10"/>
        <v>1</v>
      </c>
      <c r="K45" s="30"/>
      <c r="L45" s="53">
        <f t="shared" si="11"/>
        <v>0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3351579.1400000011</v>
      </c>
      <c r="Y45" s="53">
        <f ca="1">SUM(X$11:X45)</f>
        <v>153072681.78940606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33510</v>
      </c>
      <c r="C46" s="53">
        <f t="shared" si="7"/>
        <v>3380977.610000005</v>
      </c>
      <c r="D46" s="53">
        <f>-Data!BZ43</f>
        <v>0</v>
      </c>
      <c r="E46" s="53">
        <f t="shared" si="15"/>
        <v>3380977.610000005</v>
      </c>
      <c r="F46" s="54">
        <f t="shared" si="16"/>
        <v>100.89458698895866</v>
      </c>
      <c r="G46" s="30"/>
      <c r="H46" s="53">
        <f>+Data!$CA43</f>
        <v>3380977.610000005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3380977.610000005</v>
      </c>
      <c r="Y46" s="53">
        <f ca="1">SUM(X$11:X46)</f>
        <v>156453659.39940608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1291245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8797051.5894060358</v>
      </c>
      <c r="M47" s="178" t="str">
        <f t="shared" ca="1" si="12"/>
        <v/>
      </c>
    </row>
    <row r="48" spans="1:39" ht="11.25" customHeight="1" x14ac:dyDescent="0.2">
      <c r="A48" s="34" t="str">
        <f>Data!$C$1</f>
        <v>Allied Pacific (APC Medicare)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3877540.2099999972</v>
      </c>
      <c r="I56" s="324" t="s">
        <v>663</v>
      </c>
      <c r="J56" s="222"/>
      <c r="K56" s="223">
        <f ca="1">SUMPRODUCT(L11:L22,S11:S22)</f>
        <v>6587055.1700000102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6727628.2099999897</v>
      </c>
      <c r="D57" s="43"/>
      <c r="E57" s="53" t="s">
        <v>111</v>
      </c>
      <c r="F57" s="30"/>
      <c r="G57" s="53">
        <f ca="1">L47</f>
        <v>8797051.5894060358</v>
      </c>
      <c r="I57" s="146" t="s">
        <v>661</v>
      </c>
      <c r="J57" s="30"/>
      <c r="K57" s="53">
        <f ca="1">L47-K56</f>
        <v>2209996.4194060257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2209996.4194060261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8937624.6294060163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8797051.5894060358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12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4467229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2022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8937624.6294060163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8797051.5894060358</v>
      </c>
      <c r="K63" s="551">
        <v>0</v>
      </c>
      <c r="L63" s="551">
        <f ca="1">L47</f>
        <v>8797051.5894060358</v>
      </c>
      <c r="R63" s="227" t="s">
        <v>92</v>
      </c>
      <c r="S63" s="4">
        <f>DATE(S62,S61+1,1)-1</f>
        <v>44926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175941.03178812072</v>
      </c>
      <c r="AD64" s="51">
        <f>SUM(Data!M$142:'Data'!$AL$142)</f>
        <v>118460011.55000003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439852.5794703018</v>
      </c>
      <c r="AD65" s="51">
        <f>SUM(Data!N$142:'Data'!$AL$142)</f>
        <v>113720945.54000004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9412845.2006644569</v>
      </c>
    </row>
    <row r="67" spans="1:30" ht="11.25" customHeight="1" x14ac:dyDescent="0.2"/>
    <row r="68" spans="1:30" ht="11.25" customHeight="1" x14ac:dyDescent="0.2">
      <c r="A68" s="34" t="str">
        <f>Data!$C$1</f>
        <v>Allied Pacific (APC Medicare)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12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2022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44926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44926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str">
        <f>IF(Data!C477=0,"",Data!C477)</f>
        <v/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str">
        <f>IF(Data!C478=0,"",Data!C478)</f>
        <v/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str">
        <f>IF(Data!C479=0,"",Data!C479)</f>
        <v/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str">
        <f>IF(Data!C480=0,"",Data!C480)</f>
        <v/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str">
        <f>IF(Data!C481=0,"",Data!C481)</f>
        <v/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str">
        <f>IF(Data!C482=0,"",Data!C482)</f>
        <v/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>
        <f ca="1">VLOOKUP(J77,AA10:AD28,4)</f>
        <v>7014103.1084651276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str">
        <f>IF(Data!C483=0,"",Data!C483)</f>
        <v/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str">
        <f>IF(Data!C484=0,"",Data!C484)</f>
        <v/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5170045.2368078372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str">
        <f>IF(Data!C485=0,"",Data!C485)</f>
        <v/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str">
        <f>IF(Data!C486=0,"",Data!C486)</f>
        <v/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5170045.2368078372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str">
        <f>IF(Data!C487=0,"",Data!C487)</f>
        <v/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str">
        <f>IF(Data!C488=0,"",Data!C488)</f>
        <v/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>
        <f ca="1">R83-R87</f>
        <v>1844057.8716572905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str">
        <f>IF(Data!C489=0,"",Data!C489)</f>
        <v/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str">
        <f>IF(Data!C490=0,"",Data!C490)</f>
        <v/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str">
        <f>IF(Data!C491=0,"",Data!C491)</f>
        <v/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>
        <f t="shared" si="21"/>
        <v>44896</v>
      </c>
      <c r="B93" s="35">
        <f t="shared" si="33"/>
        <v>36964</v>
      </c>
      <c r="C93" s="53">
        <f t="shared" si="33"/>
        <v>4430972.5732161999</v>
      </c>
      <c r="D93" s="53">
        <f t="shared" si="33"/>
        <v>0</v>
      </c>
      <c r="E93" s="53">
        <f t="shared" si="33"/>
        <v>4430972.5732161999</v>
      </c>
      <c r="F93" s="54">
        <f t="shared" si="33"/>
        <v>119.87264833936263</v>
      </c>
      <c r="G93" s="30"/>
      <c r="H93" s="53">
        <f t="shared" si="20"/>
        <v>4392206.6300000092</v>
      </c>
      <c r="I93" s="53">
        <f t="shared" si="31"/>
        <v>38765.943216190673</v>
      </c>
      <c r="J93" s="53">
        <f>IF(Data!C492=0,"",Data!C492)</f>
        <v>3249406.3800000031</v>
      </c>
      <c r="K93" s="30"/>
      <c r="L93" s="53">
        <f t="shared" si="32"/>
        <v>3288172.3232161938</v>
      </c>
      <c r="M93" s="178" t="str">
        <f t="shared" si="27"/>
        <v/>
      </c>
    </row>
    <row r="94" spans="1:18" ht="11.25" customHeight="1" x14ac:dyDescent="0.2">
      <c r="A94" s="52">
        <f t="shared" si="21"/>
        <v>44866</v>
      </c>
      <c r="B94" s="35">
        <f t="shared" si="33"/>
        <v>36903</v>
      </c>
      <c r="C94" s="53">
        <f t="shared" si="33"/>
        <v>4411169.1811832916</v>
      </c>
      <c r="D94" s="53">
        <f t="shared" si="33"/>
        <v>0</v>
      </c>
      <c r="E94" s="53">
        <f t="shared" si="33"/>
        <v>4411169.1811832916</v>
      </c>
      <c r="F94" s="54">
        <f t="shared" si="33"/>
        <v>119.53416202431487</v>
      </c>
      <c r="G94" s="30"/>
      <c r="H94" s="53">
        <f t="shared" si="20"/>
        <v>4375399.0900000129</v>
      </c>
      <c r="I94" s="53">
        <f t="shared" si="31"/>
        <v>35770.09118327871</v>
      </c>
      <c r="J94" s="53">
        <f>IF(Data!C493=0,"",Data!C493)</f>
        <v>1222384.51</v>
      </c>
      <c r="K94" s="30"/>
      <c r="L94" s="53">
        <f t="shared" si="32"/>
        <v>1258154.6011832787</v>
      </c>
      <c r="M94" s="178" t="str">
        <f t="shared" si="27"/>
        <v/>
      </c>
    </row>
    <row r="95" spans="1:18" ht="11.25" customHeight="1" x14ac:dyDescent="0.2">
      <c r="A95" s="52">
        <f t="shared" si="21"/>
        <v>44835</v>
      </c>
      <c r="B95" s="35">
        <f t="shared" si="33"/>
        <v>36846</v>
      </c>
      <c r="C95" s="53">
        <f t="shared" si="33"/>
        <v>4688230.1524083707</v>
      </c>
      <c r="D95" s="53">
        <f t="shared" si="33"/>
        <v>0</v>
      </c>
      <c r="E95" s="53">
        <f t="shared" si="33"/>
        <v>4688230.1524083707</v>
      </c>
      <c r="F95" s="54">
        <f t="shared" si="33"/>
        <v>127.23851035141863</v>
      </c>
      <c r="G95" s="30"/>
      <c r="H95" s="53">
        <f t="shared" si="20"/>
        <v>4654030.8600000069</v>
      </c>
      <c r="I95" s="53">
        <f t="shared" si="31"/>
        <v>34199.292408363894</v>
      </c>
      <c r="J95" s="53">
        <f>IF(Data!C494=0,"",Data!C494)</f>
        <v>589519.02000000014</v>
      </c>
      <c r="K95" s="30"/>
      <c r="L95" s="53">
        <f t="shared" si="32"/>
        <v>623718.31240836403</v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110713</v>
      </c>
      <c r="C96" s="53">
        <f>SUM(C78:C95)</f>
        <v>13530371.906807862</v>
      </c>
      <c r="D96" s="53">
        <f t="shared" ref="D96" si="34">SUM(D78:D95)</f>
        <v>0</v>
      </c>
      <c r="E96" s="53">
        <f t="shared" ref="E96" si="35">SUM(E78:E95)</f>
        <v>13530371.906807862</v>
      </c>
      <c r="F96" s="54">
        <f t="shared" ref="F96" si="36">IF(B96=0,0,E96/B96)</f>
        <v>122.21122999835487</v>
      </c>
      <c r="G96" s="30"/>
      <c r="H96" s="53">
        <f t="shared" ref="H96:L96" si="37">SUM(H78:H95)</f>
        <v>13421636.580000028</v>
      </c>
      <c r="I96" s="53">
        <f t="shared" si="37"/>
        <v>108735.32680783328</v>
      </c>
      <c r="J96" s="53">
        <f t="shared" si="37"/>
        <v>5061309.9100000039</v>
      </c>
      <c r="K96" s="53"/>
      <c r="L96" s="53">
        <f t="shared" si="37"/>
        <v>5170045.2368078372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108735.32680783328</v>
      </c>
      <c r="J98" s="53">
        <f>J97+J96</f>
        <v>5061309.9100000039</v>
      </c>
      <c r="K98" s="30"/>
      <c r="L98" s="53">
        <f>SUM(L96:L97)</f>
        <v>5170045.2368078372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108735.32680783328</v>
      </c>
      <c r="K102" s="551">
        <f>J98</f>
        <v>5061309.9100000039</v>
      </c>
      <c r="L102" s="551">
        <f>SUM(J102:K102)</f>
        <v>5170045.2368078372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>
        <f>J102*J103+K102*K103</f>
        <v>258502.26184039185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>
        <f>J104*J102+K104*K102</f>
        <v>10873.532680783328</v>
      </c>
      <c r="P104" s="43"/>
    </row>
    <row r="105" spans="1:18" x14ac:dyDescent="0.2">
      <c r="D105" s="43"/>
      <c r="I105" s="550" t="s">
        <v>940</v>
      </c>
      <c r="J105" s="553"/>
      <c r="K105" s="553"/>
      <c r="L105" s="553">
        <f>SUM(L102:L104)</f>
        <v>5439421.0313290125</v>
      </c>
      <c r="P105" s="43"/>
    </row>
    <row r="106" spans="1:18" x14ac:dyDescent="0.2">
      <c r="P106" s="43"/>
    </row>
    <row r="107" spans="1:18" ht="12.75" x14ac:dyDescent="0.2">
      <c r="A107" s="34" t="str">
        <f>A1</f>
        <v>Allied Pacific (APC Medicare)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4152200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4326777.333333333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4848535.666666667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5440222.666666667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5473364.333333333</v>
      </c>
    </row>
    <row r="116" spans="1:21" x14ac:dyDescent="0.2">
      <c r="P116" s="43"/>
      <c r="R116" s="43">
        <f t="shared" ca="1" si="38"/>
        <v>5414661.666666667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8797051.5894060358</v>
      </c>
      <c r="D117" s="35"/>
      <c r="E117" s="53">
        <f t="shared" ref="E117:E134" ca="1" si="39">SUM(B117:C117)</f>
        <v>8797051.5894060358</v>
      </c>
      <c r="F117" s="35"/>
      <c r="G117" s="35"/>
      <c r="H117" s="53">
        <f ca="1">L47</f>
        <v>8797051.5894060358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2.1186483284538404</v>
      </c>
      <c r="P117" s="43"/>
      <c r="R117" s="43">
        <f t="shared" ca="1" si="38"/>
        <v>5045924</v>
      </c>
    </row>
    <row r="118" spans="1:21" x14ac:dyDescent="0.2">
      <c r="A118" s="138">
        <f>AA28</f>
        <v>45351</v>
      </c>
      <c r="B118" s="53">
        <f ca="1">AF28</f>
        <v>3306268.6899999976</v>
      </c>
      <c r="C118" s="53">
        <f ca="1">AE28</f>
        <v>4901094.1094060354</v>
      </c>
      <c r="D118" s="30"/>
      <c r="E118" s="53">
        <f t="shared" ca="1" si="39"/>
        <v>8207362.799406033</v>
      </c>
      <c r="F118" s="30"/>
      <c r="G118" s="30"/>
      <c r="H118" s="53">
        <f>Data!$AS9</f>
        <v>0</v>
      </c>
      <c r="I118" s="53">
        <f t="shared" ca="1" si="40"/>
        <v>8207362.799406033</v>
      </c>
      <c r="J118" s="55" t="str">
        <f t="shared" si="41"/>
        <v>NA</v>
      </c>
      <c r="K118" s="453"/>
      <c r="L118" s="454">
        <f t="shared" ca="1" si="42"/>
        <v>1.8968766282879437</v>
      </c>
      <c r="P118" s="43"/>
      <c r="R118" s="43">
        <f t="shared" ca="1" si="38"/>
        <v>4990175.333333333</v>
      </c>
    </row>
    <row r="119" spans="1:21" x14ac:dyDescent="0.2">
      <c r="A119" s="138">
        <f>AA27</f>
        <v>45322</v>
      </c>
      <c r="B119" s="53">
        <f ca="1">AF27</f>
        <v>4810334.1699999925</v>
      </c>
      <c r="C119" s="53">
        <f ca="1">AE27</f>
        <v>2861037.2794060339</v>
      </c>
      <c r="D119" s="35"/>
      <c r="E119" s="53">
        <f t="shared" ca="1" si="39"/>
        <v>7671371.4494060259</v>
      </c>
      <c r="F119" s="35"/>
      <c r="G119" s="35"/>
      <c r="H119" s="53">
        <f>Data!$AS10</f>
        <v>0</v>
      </c>
      <c r="I119" s="53">
        <f t="shared" ca="1" si="40"/>
        <v>7671371.4494060259</v>
      </c>
      <c r="J119" s="55" t="str">
        <f t="shared" si="41"/>
        <v>NA</v>
      </c>
      <c r="K119" s="453"/>
      <c r="L119" s="454">
        <f t="shared" ca="1" si="42"/>
        <v>1.5822037779666449</v>
      </c>
      <c r="P119" s="43"/>
      <c r="R119" s="43">
        <f t="shared" ca="1" si="38"/>
        <v>4842777.666666667</v>
      </c>
      <c r="T119" s="116">
        <f>Data!$BO20</f>
        <v>5057934.6507786037</v>
      </c>
      <c r="U119" s="43">
        <f>AVERAGE(T119:T121)</f>
        <v>4609685.3603136139</v>
      </c>
    </row>
    <row r="120" spans="1:21" x14ac:dyDescent="0.2">
      <c r="A120" s="138">
        <f>AA26</f>
        <v>45291</v>
      </c>
      <c r="B120" s="53">
        <f ca="1">AF26</f>
        <v>6727628.2099999897</v>
      </c>
      <c r="C120" s="53">
        <f ca="1">AE26</f>
        <v>2209996.4194060261</v>
      </c>
      <c r="D120" s="35"/>
      <c r="E120" s="53">
        <f t="shared" ca="1" si="39"/>
        <v>8937624.6294060163</v>
      </c>
      <c r="F120" s="35"/>
      <c r="G120" s="35"/>
      <c r="H120" s="53">
        <f>Data!$AS11</f>
        <v>0</v>
      </c>
      <c r="I120" s="53">
        <f t="shared" ca="1" si="40"/>
        <v>8937624.6294060163</v>
      </c>
      <c r="J120" s="55" t="str">
        <f t="shared" si="41"/>
        <v>NA</v>
      </c>
      <c r="K120" s="453"/>
      <c r="L120" s="454">
        <f t="shared" ca="1" si="42"/>
        <v>1.642878458664685</v>
      </c>
      <c r="P120" s="43"/>
      <c r="R120" s="43">
        <f t="shared" ca="1" si="38"/>
        <v>4756312.666666667</v>
      </c>
      <c r="T120" s="116">
        <f>Data!$BO21</f>
        <v>4416080.295621125</v>
      </c>
    </row>
    <row r="121" spans="1:21" x14ac:dyDescent="0.2">
      <c r="A121" s="138">
        <f>AA25</f>
        <v>45260</v>
      </c>
      <c r="B121" s="53">
        <f ca="1">AF25</f>
        <v>7448814.6899999995</v>
      </c>
      <c r="C121" s="53">
        <f ca="1">AE25</f>
        <v>1831796.6594060189</v>
      </c>
      <c r="D121" s="35"/>
      <c r="E121" s="53">
        <f t="shared" ca="1" si="39"/>
        <v>9280611.3494060189</v>
      </c>
      <c r="F121" s="35"/>
      <c r="G121" s="35"/>
      <c r="H121" s="53">
        <f>Data!$AS12</f>
        <v>0</v>
      </c>
      <c r="I121" s="53">
        <f t="shared" ca="1" si="40"/>
        <v>9280611.3494060189</v>
      </c>
      <c r="J121" s="55" t="str">
        <f t="shared" si="41"/>
        <v>NA</v>
      </c>
      <c r="K121" s="453"/>
      <c r="L121" s="454">
        <f t="shared" ca="1" si="42"/>
        <v>1.6955953932915031</v>
      </c>
      <c r="P121" s="43"/>
      <c r="R121" s="43">
        <f t="shared" ca="1" si="38"/>
        <v>4801244.2169262012</v>
      </c>
      <c r="T121" s="116">
        <f>Data!$BO22</f>
        <v>4355041.134541112</v>
      </c>
    </row>
    <row r="122" spans="1:21" x14ac:dyDescent="0.2">
      <c r="A122" s="138">
        <f>AA24</f>
        <v>45230</v>
      </c>
      <c r="B122" s="53">
        <f ca="1">AF24</f>
        <v>7542741.7800000049</v>
      </c>
      <c r="C122" s="53">
        <f ca="1">AE24</f>
        <v>1539808.0694060172</v>
      </c>
      <c r="D122" s="35"/>
      <c r="E122" s="53">
        <f t="shared" ca="1" si="39"/>
        <v>9082549.8494060226</v>
      </c>
      <c r="F122" s="35"/>
      <c r="G122" s="35"/>
      <c r="H122" s="53">
        <f>Data!$AS13</f>
        <v>0</v>
      </c>
      <c r="I122" s="53">
        <f t="shared" ca="1" si="40"/>
        <v>9082549.8494060226</v>
      </c>
      <c r="J122" s="55" t="str">
        <f t="shared" si="41"/>
        <v>NA</v>
      </c>
      <c r="K122" s="453"/>
      <c r="L122" s="454">
        <f t="shared" ca="1" si="42"/>
        <v>1.677399329549865</v>
      </c>
      <c r="P122" s="43"/>
      <c r="R122" s="43">
        <f t="shared" ca="1" si="38"/>
        <v>4671061.3154665763</v>
      </c>
      <c r="T122" s="116">
        <f>Data!$BO23</f>
        <v>4430972.5732161999</v>
      </c>
    </row>
    <row r="123" spans="1:21" x14ac:dyDescent="0.2">
      <c r="A123" s="138">
        <f>AA23</f>
        <v>45199</v>
      </c>
      <c r="B123" s="53">
        <f ca="1">AF23</f>
        <v>7559629.2599999961</v>
      </c>
      <c r="C123" s="53">
        <f ca="1">AE23</f>
        <v>1263508.049406013</v>
      </c>
      <c r="D123" s="35"/>
      <c r="E123" s="53">
        <f t="shared" ca="1" si="39"/>
        <v>8823137.3094060086</v>
      </c>
      <c r="F123" s="35"/>
      <c r="G123" s="35"/>
      <c r="H123" s="53">
        <f>Data!$AS14</f>
        <v>0</v>
      </c>
      <c r="I123" s="53">
        <f t="shared" ca="1" si="40"/>
        <v>8823137.3094060086</v>
      </c>
      <c r="J123" s="55" t="str">
        <f t="shared" si="41"/>
        <v>NA</v>
      </c>
      <c r="K123" s="453"/>
      <c r="L123" s="454">
        <f t="shared" ca="1" si="42"/>
        <v>1.7485672216636652</v>
      </c>
      <c r="P123" s="43"/>
      <c r="R123" s="451">
        <f t="shared" ref="R123:R128" si="43">AVERAGE(T119:T121)</f>
        <v>4609685.3603136139</v>
      </c>
      <c r="T123" s="116">
        <f>Data!$BO24</f>
        <v>4411169.1811832916</v>
      </c>
    </row>
    <row r="124" spans="1:21" x14ac:dyDescent="0.2">
      <c r="A124" s="138">
        <f>AA22</f>
        <v>45169</v>
      </c>
      <c r="B124" s="53">
        <f ca="1">AF22</f>
        <v>7700551.1600000113</v>
      </c>
      <c r="C124" s="53">
        <f ca="1">AE22</f>
        <v>1058207.5694060097</v>
      </c>
      <c r="D124" s="30"/>
      <c r="E124" s="53">
        <f t="shared" ca="1" si="39"/>
        <v>8758758.7294060215</v>
      </c>
      <c r="F124" s="30"/>
      <c r="G124" s="30"/>
      <c r="H124" s="53">
        <f>Data!$AS15</f>
        <v>0</v>
      </c>
      <c r="I124" s="53">
        <f t="shared" ca="1" si="40"/>
        <v>8758758.7294060215</v>
      </c>
      <c r="J124" s="55" t="str">
        <f t="shared" si="41"/>
        <v>NA</v>
      </c>
      <c r="K124" s="453"/>
      <c r="L124" s="454">
        <f t="shared" ca="1" si="42"/>
        <v>1.7552005980429857</v>
      </c>
      <c r="P124" s="43"/>
      <c r="R124" s="451">
        <f t="shared" si="43"/>
        <v>4400698.001126145</v>
      </c>
      <c r="T124" s="116">
        <f>Data!$BO25</f>
        <v>4688230.1524083707</v>
      </c>
    </row>
    <row r="125" spans="1:21" x14ac:dyDescent="0.2">
      <c r="A125" s="138">
        <f>AA21</f>
        <v>45138</v>
      </c>
      <c r="B125" s="53">
        <f ca="1">AF21</f>
        <v>7341125.9199999887</v>
      </c>
      <c r="C125" s="53">
        <f ca="1">AE21</f>
        <v>880126.56940602371</v>
      </c>
      <c r="D125" s="35"/>
      <c r="E125" s="53">
        <f t="shared" ca="1" si="39"/>
        <v>8221252.489406012</v>
      </c>
      <c r="F125" s="35"/>
      <c r="G125" s="35"/>
      <c r="H125" s="53">
        <f>Data!$AS16</f>
        <v>0</v>
      </c>
      <c r="I125" s="53">
        <f t="shared" ca="1" si="40"/>
        <v>8221252.489406012</v>
      </c>
      <c r="J125" s="55" t="str">
        <f t="shared" si="41"/>
        <v>NA</v>
      </c>
      <c r="K125" s="453"/>
      <c r="L125" s="454">
        <f t="shared" ca="1" si="42"/>
        <v>1.6976316187285929</v>
      </c>
      <c r="P125" s="43"/>
      <c r="R125" s="451">
        <f t="shared" si="43"/>
        <v>4399060.9629802015</v>
      </c>
      <c r="T125" s="116">
        <f>Data!$BO26</f>
        <v>4499385.4718065085</v>
      </c>
    </row>
    <row r="126" spans="1:21" x14ac:dyDescent="0.2">
      <c r="A126" s="138">
        <f>AA20</f>
        <v>45107</v>
      </c>
      <c r="B126" s="53">
        <f ca="1">AF20</f>
        <v>7205357.4899999779</v>
      </c>
      <c r="C126" s="53">
        <f ca="1">AE20</f>
        <v>742631.08940600837</v>
      </c>
      <c r="D126" s="30"/>
      <c r="E126" s="53">
        <f t="shared" ca="1" si="39"/>
        <v>7947988.5794059858</v>
      </c>
      <c r="F126" s="30"/>
      <c r="G126" s="30"/>
      <c r="H126" s="53">
        <f>Data!$AS17</f>
        <v>0</v>
      </c>
      <c r="I126" s="53">
        <f t="shared" ca="1" si="40"/>
        <v>7947988.5794059858</v>
      </c>
      <c r="J126" s="55" t="str">
        <f t="shared" si="41"/>
        <v>NA</v>
      </c>
      <c r="K126" s="453"/>
      <c r="L126" s="454">
        <f t="shared" ca="1" si="42"/>
        <v>1.6710399707545127</v>
      </c>
      <c r="P126" s="43"/>
      <c r="R126" s="451">
        <f t="shared" si="43"/>
        <v>4510123.9689359544</v>
      </c>
      <c r="T126" s="116">
        <f>Data!$BO27</f>
        <v>4602626.9710724428</v>
      </c>
    </row>
    <row r="127" spans="1:21" x14ac:dyDescent="0.2">
      <c r="A127" s="138">
        <f>AA19</f>
        <v>45077</v>
      </c>
      <c r="B127" s="53">
        <f ca="1">AF19</f>
        <v>7204277.3899999894</v>
      </c>
      <c r="C127" s="53">
        <f ca="1">AE19</f>
        <v>623772.52940599946</v>
      </c>
      <c r="D127" s="30"/>
      <c r="E127" s="53">
        <f t="shared" ca="1" si="39"/>
        <v>7828049.9194059893</v>
      </c>
      <c r="F127" s="30"/>
      <c r="G127" s="30"/>
      <c r="H127" s="53">
        <f>Data!$AS18</f>
        <v>0</v>
      </c>
      <c r="I127" s="53">
        <f t="shared" ca="1" si="40"/>
        <v>7828049.9194059893</v>
      </c>
      <c r="J127" s="55" t="str">
        <f t="shared" si="41"/>
        <v>NA</v>
      </c>
      <c r="K127" s="453"/>
      <c r="L127" s="454">
        <f t="shared" ca="1" si="42"/>
        <v>1.6304211087220171</v>
      </c>
      <c r="P127" s="43"/>
      <c r="R127" s="451">
        <f t="shared" si="43"/>
        <v>4532928.2684660563</v>
      </c>
      <c r="T127" s="116">
        <f>Data!$BO28</f>
        <v>4044532.9962525791</v>
      </c>
    </row>
    <row r="128" spans="1:21" x14ac:dyDescent="0.2">
      <c r="A128" s="138">
        <f>AA18</f>
        <v>45046</v>
      </c>
      <c r="B128" s="53">
        <f ca="1">AF18</f>
        <v>7148450.3899999894</v>
      </c>
      <c r="C128" s="53">
        <f ca="1">AE18</f>
        <v>526363.13940599887</v>
      </c>
      <c r="D128" s="30"/>
      <c r="E128" s="53">
        <f t="shared" ca="1" si="39"/>
        <v>7674813.5294059888</v>
      </c>
      <c r="F128" s="30"/>
      <c r="G128" s="30"/>
      <c r="H128" s="53">
        <f>Data!$AS19</f>
        <v>0</v>
      </c>
      <c r="I128" s="53">
        <f t="shared" ca="1" si="40"/>
        <v>7674813.5294059888</v>
      </c>
      <c r="J128" s="55" t="str">
        <f t="shared" si="41"/>
        <v>NA</v>
      </c>
      <c r="K128" s="453"/>
      <c r="L128" s="454">
        <f t="shared" ca="1" si="42"/>
        <v>1.6430556165027301</v>
      </c>
      <c r="P128" s="43"/>
      <c r="R128" s="451">
        <f t="shared" si="43"/>
        <v>4596747.5317624407</v>
      </c>
      <c r="T128" s="116">
        <f>Data!$BO29</f>
        <v>4164705.7850475973</v>
      </c>
    </row>
    <row r="129" spans="1:16" x14ac:dyDescent="0.2">
      <c r="A129" s="138">
        <f>AA17</f>
        <v>45016</v>
      </c>
      <c r="B129" s="53">
        <f ca="1">AF17</f>
        <v>6840785.5099999942</v>
      </c>
      <c r="C129" s="53">
        <f ca="1">AE17</f>
        <v>448934.8894059998</v>
      </c>
      <c r="D129" s="35"/>
      <c r="E129" s="53">
        <f t="shared" ca="1" si="39"/>
        <v>7289720.3994059935</v>
      </c>
      <c r="F129" s="35"/>
      <c r="G129" s="35"/>
      <c r="H129" s="53">
        <f>Data!$AS20</f>
        <v>0</v>
      </c>
      <c r="I129" s="53">
        <f t="shared" ca="1" si="40"/>
        <v>7289720.3994059935</v>
      </c>
      <c r="J129" s="55" t="str">
        <f t="shared" si="41"/>
        <v>NA</v>
      </c>
      <c r="K129" s="453"/>
      <c r="L129" s="454">
        <f t="shared" ca="1" si="42"/>
        <v>1.5813921839797862</v>
      </c>
      <c r="P129" s="43"/>
    </row>
    <row r="130" spans="1:16" x14ac:dyDescent="0.2">
      <c r="A130" s="138">
        <f>AA16</f>
        <v>44985</v>
      </c>
      <c r="B130" s="53">
        <f ca="1">AF16</f>
        <v>6933693.2199999765</v>
      </c>
      <c r="C130" s="53">
        <f ca="1">AE16</f>
        <v>375576.30862738239</v>
      </c>
      <c r="D130" s="30"/>
      <c r="E130" s="53">
        <f t="shared" ca="1" si="39"/>
        <v>7309269.5286273584</v>
      </c>
      <c r="F130" s="30"/>
      <c r="G130" s="30"/>
      <c r="H130" s="53">
        <f>Data!$AS21</f>
        <v>0</v>
      </c>
      <c r="I130" s="53">
        <f t="shared" ca="1" si="40"/>
        <v>7309269.5286273584</v>
      </c>
      <c r="J130" s="55" t="str">
        <f t="shared" si="41"/>
        <v>NA</v>
      </c>
      <c r="K130" s="453"/>
      <c r="L130" s="454">
        <f t="shared" ca="1" si="42"/>
        <v>1.6609341351660363</v>
      </c>
      <c r="P130" s="43"/>
    </row>
    <row r="131" spans="1:16" x14ac:dyDescent="0.2">
      <c r="A131" s="138">
        <f>AA15</f>
        <v>44957</v>
      </c>
      <c r="B131" s="53">
        <f ca="1">AF15</f>
        <v>6580544.3499999829</v>
      </c>
      <c r="C131" s="53">
        <f ca="1">AE15</f>
        <v>321984.24300624756</v>
      </c>
      <c r="D131" s="30"/>
      <c r="E131" s="53">
        <f t="shared" ca="1" si="39"/>
        <v>6902528.5930062309</v>
      </c>
      <c r="F131" s="30"/>
      <c r="G131" s="30"/>
      <c r="H131" s="53">
        <f>Data!$AS22</f>
        <v>0</v>
      </c>
      <c r="I131" s="53">
        <f t="shared" ca="1" si="40"/>
        <v>6902528.5930062309</v>
      </c>
      <c r="J131" s="55" t="str">
        <f t="shared" si="41"/>
        <v>NA</v>
      </c>
      <c r="K131" s="453"/>
      <c r="L131" s="454">
        <f t="shared" ca="1" si="42"/>
        <v>1.5690913699750191</v>
      </c>
      <c r="P131" s="43"/>
    </row>
    <row r="132" spans="1:16" x14ac:dyDescent="0.2">
      <c r="A132" s="138">
        <f>AA14</f>
        <v>44926</v>
      </c>
      <c r="B132" s="53">
        <f ca="1">AF14</f>
        <v>6735977.6600000001</v>
      </c>
      <c r="C132" s="53">
        <f ca="1">AE14</f>
        <v>278125.44846512796</v>
      </c>
      <c r="D132" s="30"/>
      <c r="E132" s="53">
        <f t="shared" ca="1" si="39"/>
        <v>7014103.1084651276</v>
      </c>
      <c r="F132" s="30"/>
      <c r="G132" s="30"/>
      <c r="H132" s="53">
        <f>Data!$AS23</f>
        <v>0</v>
      </c>
      <c r="I132" s="53">
        <f t="shared" ca="1" si="40"/>
        <v>7014103.1084651276</v>
      </c>
      <c r="J132" s="55" t="str">
        <f t="shared" si="41"/>
        <v>NA</v>
      </c>
      <c r="K132" s="453"/>
      <c r="L132" s="454">
        <f t="shared" ca="1" si="42"/>
        <v>1.5551907567897567</v>
      </c>
    </row>
    <row r="133" spans="1:16" x14ac:dyDescent="0.2">
      <c r="A133" s="138">
        <f>AA13</f>
        <v>44895</v>
      </c>
      <c r="B133" s="53">
        <f ca="1">AF13</f>
        <v>6741423.4000000022</v>
      </c>
      <c r="C133" s="53">
        <f ca="1">AE13</f>
        <v>239359.50524893729</v>
      </c>
      <c r="D133" s="30"/>
      <c r="E133" s="53">
        <f t="shared" ca="1" si="39"/>
        <v>6980782.90524894</v>
      </c>
      <c r="F133" s="30"/>
      <c r="G133" s="30"/>
      <c r="H133" s="53">
        <f>Data!$AS24</f>
        <v>0</v>
      </c>
      <c r="I133" s="53">
        <f t="shared" ca="1" si="40"/>
        <v>6980782.90524894</v>
      </c>
      <c r="J133" s="55" t="str">
        <f t="shared" si="41"/>
        <v>NA</v>
      </c>
      <c r="K133" s="453"/>
      <c r="L133" s="454">
        <f t="shared" ca="1" si="42"/>
        <v>1.5400161864046522</v>
      </c>
    </row>
    <row r="134" spans="1:16" x14ac:dyDescent="0.2">
      <c r="A134" s="138">
        <f>AA12</f>
        <v>44865</v>
      </c>
      <c r="B134" s="53">
        <f ca="1">AF12</f>
        <v>6843134.8999999762</v>
      </c>
      <c r="C134" s="53">
        <f ca="1">AE12</f>
        <v>203589.41406565858</v>
      </c>
      <c r="D134" s="35"/>
      <c r="E134" s="53">
        <f t="shared" ca="1" si="39"/>
        <v>7046724.3140656352</v>
      </c>
      <c r="F134" s="35"/>
      <c r="G134" s="35"/>
      <c r="H134" s="53">
        <f>Data!$AS25</f>
        <v>0</v>
      </c>
      <c r="I134" s="53">
        <f t="shared" ca="1" si="40"/>
        <v>7046724.3140656352</v>
      </c>
      <c r="J134" s="55" t="str">
        <f t="shared" si="41"/>
        <v>NA</v>
      </c>
      <c r="K134" s="453"/>
      <c r="L134" s="454">
        <f t="shared" ca="1" si="42"/>
        <v>1.5329804966173219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Allied Pacific (APC Medicare)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3859655</v>
      </c>
      <c r="D146" s="53"/>
      <c r="E146" s="180">
        <v>597594</v>
      </c>
      <c r="F146" s="30"/>
      <c r="G146" s="30"/>
      <c r="H146" s="53">
        <f t="shared" ref="H146:H156" ca="1" si="44">C146-E146</f>
        <v>3262061</v>
      </c>
      <c r="I146" s="63"/>
      <c r="J146" s="55">
        <f t="shared" ref="J146:J157" ca="1" si="45">H146/C146</f>
        <v>0.84516906303801764</v>
      </c>
    </row>
    <row r="147" spans="1:22" x14ac:dyDescent="0.2">
      <c r="A147" s="52">
        <f>$A$13</f>
        <v>45292</v>
      </c>
      <c r="B147" s="30"/>
      <c r="C147" s="53">
        <f ca="1">IF(E147&gt;0,+C$13,"")</f>
        <v>4129716</v>
      </c>
      <c r="D147" s="53"/>
      <c r="E147" s="180">
        <v>647734</v>
      </c>
      <c r="F147" s="30"/>
      <c r="G147" s="30"/>
      <c r="H147" s="53">
        <f t="shared" ca="1" si="44"/>
        <v>3481982</v>
      </c>
      <c r="I147" s="63"/>
      <c r="J147" s="55">
        <f t="shared" ca="1" si="45"/>
        <v>0.84315289477533084</v>
      </c>
    </row>
    <row r="148" spans="1:22" x14ac:dyDescent="0.2">
      <c r="A148" s="52">
        <f>$A$14</f>
        <v>45261</v>
      </c>
      <c r="B148" s="30"/>
      <c r="C148" s="53">
        <f ca="1">IF(E148&gt;0,+C$14,"")</f>
        <v>4990961</v>
      </c>
      <c r="D148" s="53"/>
      <c r="E148" s="180">
        <v>734382</v>
      </c>
      <c r="F148" s="30"/>
      <c r="G148" s="30"/>
      <c r="H148" s="53">
        <f t="shared" ca="1" si="44"/>
        <v>4256579</v>
      </c>
      <c r="I148" s="63"/>
      <c r="J148" s="55">
        <f t="shared" ca="1" si="45"/>
        <v>0.85285759596198008</v>
      </c>
    </row>
    <row r="149" spans="1:22" x14ac:dyDescent="0.2">
      <c r="A149" s="52">
        <f>$A$15</f>
        <v>45231</v>
      </c>
      <c r="B149" s="30"/>
      <c r="C149" s="53">
        <f ca="1">C$15</f>
        <v>5424930</v>
      </c>
      <c r="D149" s="53"/>
      <c r="E149" s="180">
        <v>652312</v>
      </c>
      <c r="F149" s="30"/>
      <c r="G149" s="30"/>
      <c r="H149" s="53">
        <f t="shared" ca="1" si="44"/>
        <v>4772618</v>
      </c>
      <c r="I149" s="63"/>
      <c r="J149" s="55">
        <f t="shared" ca="1" si="45"/>
        <v>0.87975660515435217</v>
      </c>
    </row>
    <row r="150" spans="1:22" x14ac:dyDescent="0.2">
      <c r="A150" s="52">
        <f>$A$16</f>
        <v>45200</v>
      </c>
      <c r="B150" s="30"/>
      <c r="C150" s="53">
        <f ca="1">C$16</f>
        <v>5904777</v>
      </c>
      <c r="D150" s="53"/>
      <c r="E150" s="180">
        <v>697101</v>
      </c>
      <c r="F150" s="30"/>
      <c r="G150" s="30"/>
      <c r="H150" s="53">
        <f t="shared" ca="1" si="44"/>
        <v>5207676</v>
      </c>
      <c r="I150" s="63"/>
      <c r="J150" s="55">
        <f t="shared" ca="1" si="45"/>
        <v>0.88194287438797436</v>
      </c>
    </row>
    <row r="151" spans="1:22" x14ac:dyDescent="0.2">
      <c r="A151" s="52">
        <f>$A$17</f>
        <v>45170</v>
      </c>
      <c r="B151" s="30"/>
      <c r="C151" s="53">
        <f ca="1">C$17</f>
        <v>5090386</v>
      </c>
      <c r="D151" s="53"/>
      <c r="E151" s="180">
        <v>631384</v>
      </c>
      <c r="F151" s="30"/>
      <c r="G151" s="30"/>
      <c r="H151" s="53">
        <f t="shared" ca="1" si="44"/>
        <v>4459002</v>
      </c>
      <c r="I151" s="63"/>
      <c r="J151" s="55">
        <f t="shared" ca="1" si="45"/>
        <v>0.87596539830181841</v>
      </c>
    </row>
    <row r="152" spans="1:22" x14ac:dyDescent="0.2">
      <c r="A152" s="52">
        <f>$A$18</f>
        <v>45139</v>
      </c>
      <c r="B152" s="30"/>
      <c r="C152" s="53">
        <f ca="1">C$18</f>
        <v>5248822</v>
      </c>
      <c r="D152" s="53"/>
      <c r="E152" s="180">
        <v>636196</v>
      </c>
      <c r="F152" s="30"/>
      <c r="G152" s="30"/>
      <c r="H152" s="53">
        <f t="shared" ca="1" si="44"/>
        <v>4612626</v>
      </c>
      <c r="I152" s="63"/>
      <c r="J152" s="55">
        <f t="shared" ca="1" si="45"/>
        <v>0.87879261289485522</v>
      </c>
      <c r="V152" s="559"/>
    </row>
    <row r="153" spans="1:22" x14ac:dyDescent="0.2">
      <c r="A153" s="52">
        <f>$A$19</f>
        <v>45108</v>
      </c>
      <c r="B153" s="30"/>
      <c r="C153" s="53">
        <f ca="1">C$19</f>
        <v>4798564</v>
      </c>
      <c r="D153" s="53"/>
      <c r="E153" s="180">
        <v>575744</v>
      </c>
      <c r="F153" s="30"/>
      <c r="G153" s="30"/>
      <c r="H153" s="53">
        <f t="shared" ca="1" si="44"/>
        <v>4222820</v>
      </c>
      <c r="I153" s="63"/>
      <c r="J153" s="55">
        <f t="shared" ca="1" si="45"/>
        <v>0.88001743855036629</v>
      </c>
      <c r="V153" s="559"/>
    </row>
    <row r="154" spans="1:22" x14ac:dyDescent="0.2">
      <c r="A154" s="52">
        <f>$A$20</f>
        <v>45078</v>
      </c>
      <c r="B154" s="30"/>
      <c r="C154" s="53">
        <f ca="1">C$20</f>
        <v>4923140</v>
      </c>
      <c r="D154" s="53"/>
      <c r="E154" s="180">
        <v>598368</v>
      </c>
      <c r="F154" s="30"/>
      <c r="G154" s="30"/>
      <c r="H154" s="53">
        <f t="shared" ca="1" si="44"/>
        <v>4324772</v>
      </c>
      <c r="I154" s="63"/>
      <c r="J154" s="55">
        <f t="shared" ca="1" si="45"/>
        <v>0.87845805725614146</v>
      </c>
      <c r="V154" s="559"/>
    </row>
    <row r="155" spans="1:22" x14ac:dyDescent="0.2">
      <c r="A155" s="52">
        <f>$A$21</f>
        <v>45047</v>
      </c>
      <c r="B155" s="30"/>
      <c r="C155" s="53">
        <f ca="1">C$21</f>
        <v>4806629</v>
      </c>
      <c r="D155" s="53"/>
      <c r="E155" s="180">
        <v>568069</v>
      </c>
      <c r="F155" s="30"/>
      <c r="G155" s="30"/>
      <c r="H155" s="53">
        <f t="shared" ca="1" si="44"/>
        <v>4238560</v>
      </c>
      <c r="I155" s="63"/>
      <c r="J155" s="55">
        <f t="shared" ca="1" si="45"/>
        <v>0.88181550937257691</v>
      </c>
      <c r="V155" s="559"/>
    </row>
    <row r="156" spans="1:22" x14ac:dyDescent="0.2">
      <c r="A156" s="52">
        <f>$A$22</f>
        <v>45017</v>
      </c>
      <c r="B156" s="30"/>
      <c r="C156" s="53">
        <f ca="1">C$22</f>
        <v>4539169</v>
      </c>
      <c r="D156" s="53"/>
      <c r="E156" s="180">
        <v>607912</v>
      </c>
      <c r="F156" s="30"/>
      <c r="G156" s="30"/>
      <c r="H156" s="53">
        <f t="shared" ca="1" si="44"/>
        <v>3931257</v>
      </c>
      <c r="I156" s="63"/>
      <c r="J156" s="55">
        <f t="shared" ca="1" si="45"/>
        <v>0.86607416467639786</v>
      </c>
    </row>
    <row r="157" spans="1:22" x14ac:dyDescent="0.2">
      <c r="A157" s="56" t="s">
        <v>632</v>
      </c>
      <c r="B157" s="30"/>
      <c r="C157" s="53">
        <f ca="1">SUM(C146:C156)</f>
        <v>53716749</v>
      </c>
      <c r="D157" s="53"/>
      <c r="E157" s="53">
        <f>SUM(E146:E156)</f>
        <v>6946796</v>
      </c>
      <c r="F157" s="30"/>
      <c r="G157" s="30"/>
      <c r="H157" s="53">
        <f ca="1">SUM(H146:H156)</f>
        <v>46769953</v>
      </c>
      <c r="I157" s="63"/>
      <c r="J157" s="55">
        <f t="shared" ca="1" si="45"/>
        <v>0.87067728167987235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1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tabSelected="1" zoomScaleNormal="100" workbookViewId="0">
      <selection activeCell="W8" sqref="W8"/>
    </sheetView>
  </sheetViews>
  <sheetFormatPr defaultRowHeight="11.25" x14ac:dyDescent="0.2"/>
  <cols>
    <col min="1" max="1" width="13.33203125" customWidth="1"/>
    <col min="4" max="4" width="10.33203125" bestFit="1" customWidth="1"/>
    <col min="7" max="7" width="9.33203125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4" ht="12.75" x14ac:dyDescent="0.2">
      <c r="C1" s="34" t="str">
        <f>+[0]!Name</f>
        <v>Allied Pacific (APC Medicare)</v>
      </c>
      <c r="R1" s="208" t="s">
        <v>874</v>
      </c>
    </row>
    <row r="2" spans="1:24" x14ac:dyDescent="0.2">
      <c r="C2" s="130" t="s">
        <v>344</v>
      </c>
    </row>
    <row r="3" spans="1:24" x14ac:dyDescent="0.2">
      <c r="W3" t="s">
        <v>1069</v>
      </c>
    </row>
    <row r="4" spans="1:24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4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4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4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4" x14ac:dyDescent="0.2">
      <c r="A8" s="178"/>
      <c r="B8" s="313">
        <f>+Data!BN9</f>
        <v>0.64704436033936741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34">
        <f ca="1">OFFSET([1]MonthlyDays!$F$60,-V8,0)-1</f>
        <v>19</v>
      </c>
    </row>
    <row r="9" spans="1:24" x14ac:dyDescent="0.2">
      <c r="A9" s="178"/>
      <c r="B9" s="313">
        <f>+Data!BN10</f>
        <v>0.86030263182158717</v>
      </c>
      <c r="C9" s="188"/>
      <c r="D9" s="190"/>
      <c r="E9" s="189"/>
      <c r="F9" s="189"/>
      <c r="G9" s="190"/>
      <c r="J9" s="52">
        <f>+Data!AN8</f>
        <v>45352</v>
      </c>
      <c r="K9" s="54">
        <f t="shared" ref="K9:K20" ca="1" si="1">$G$29</f>
        <v>6.2226383432548111</v>
      </c>
      <c r="L9" s="75">
        <f t="shared" ref="L9:L20" si="2">(1+$G$31)^((J9-$D$31+15)/365)</f>
        <v>1.0696911215095102</v>
      </c>
      <c r="M9" s="624">
        <f t="shared" ref="M9:M20" ca="1" si="3">W7</f>
        <v>21</v>
      </c>
      <c r="N9" s="75">
        <f t="shared" ref="N9:N20" si="4">1/VLOOKUP(J9,$A$81:$C$104,3)</f>
        <v>1</v>
      </c>
      <c r="O9" s="358">
        <v>1</v>
      </c>
      <c r="P9" s="54">
        <f t="shared" ref="P9:P20" ca="1" si="5">ROUND(+K9*L9*M9*N9,2)</f>
        <v>139.78</v>
      </c>
      <c r="Q9" s="35">
        <f>+Data!BL8</f>
        <v>31959</v>
      </c>
      <c r="R9" s="53">
        <f t="shared" ref="R9:R20" ca="1" si="6">ROUND($Q9*$P9,0)</f>
        <v>4467229</v>
      </c>
      <c r="T9" s="66"/>
      <c r="U9" s="42">
        <f t="shared" si="0"/>
        <v>45292</v>
      </c>
      <c r="V9" s="625">
        <f t="shared" ref="V9:V22" si="7">V8+1</f>
        <v>2</v>
      </c>
      <c r="W9" s="625">
        <f ca="1">OFFSET([1]MonthlyDays!$F$60,-V9,0)</f>
        <v>21</v>
      </c>
    </row>
    <row r="10" spans="1:24" x14ac:dyDescent="0.2">
      <c r="A10" s="178"/>
      <c r="B10" s="313">
        <f>+Data!BN11</f>
        <v>0.92422314317391896</v>
      </c>
      <c r="C10" s="188">
        <f>+Data!AV11</f>
        <v>45261</v>
      </c>
      <c r="D10" s="190">
        <f>+Data!BQ11</f>
        <v>132.59372871203831</v>
      </c>
      <c r="E10" s="623">
        <f t="shared" ref="E10:E12" ca="1" si="8">W10</f>
        <v>20</v>
      </c>
      <c r="F10" s="189">
        <f t="shared" ref="F10:F12" si="9">1/VLOOKUP(C10,$A$81:$C$104,3)</f>
        <v>1</v>
      </c>
      <c r="G10" s="190">
        <f t="shared" ref="G10:G12" ca="1" si="10">D10/E10/F10</f>
        <v>6.6296864356019158</v>
      </c>
      <c r="J10" s="52">
        <f>+Data!AN9</f>
        <v>45323</v>
      </c>
      <c r="K10" s="54">
        <f t="shared" ca="1" si="1"/>
        <v>6.2226383432548111</v>
      </c>
      <c r="L10" s="75">
        <f t="shared" si="2"/>
        <v>1.0616213825905469</v>
      </c>
      <c r="M10" s="624">
        <f t="shared" ca="1" si="3"/>
        <v>19</v>
      </c>
      <c r="N10" s="75">
        <f t="shared" si="4"/>
        <v>1</v>
      </c>
      <c r="O10" s="358">
        <v>1</v>
      </c>
      <c r="P10" s="54">
        <f t="shared" ca="1" si="5"/>
        <v>125.52</v>
      </c>
      <c r="Q10" s="35">
        <f>+Data!BL9</f>
        <v>32222</v>
      </c>
      <c r="R10" s="53">
        <f t="shared" ca="1" si="6"/>
        <v>4044505</v>
      </c>
      <c r="T10" s="66"/>
      <c r="U10" s="42">
        <f>C10</f>
        <v>45261</v>
      </c>
      <c r="V10" s="625">
        <f t="shared" si="7"/>
        <v>3</v>
      </c>
      <c r="W10" s="625">
        <f ca="1">OFFSET([1]MonthlyDays!$F$60,-V10,0)</f>
        <v>20</v>
      </c>
      <c r="X10" s="626"/>
    </row>
    <row r="11" spans="1:24" x14ac:dyDescent="0.2">
      <c r="A11" s="178"/>
      <c r="B11" s="313">
        <f>+Data!BN12</f>
        <v>0.9461765251161306</v>
      </c>
      <c r="C11" s="188">
        <f>+Data!AV12</f>
        <v>45231</v>
      </c>
      <c r="D11" s="190">
        <f>+Data!BQ12</f>
        <v>143.55464390679498</v>
      </c>
      <c r="E11" s="623">
        <f t="shared" ca="1" si="8"/>
        <v>21</v>
      </c>
      <c r="F11" s="189">
        <f t="shared" si="9"/>
        <v>1</v>
      </c>
      <c r="G11" s="190">
        <f t="shared" ca="1" si="10"/>
        <v>6.8359354241330941</v>
      </c>
      <c r="J11" s="52">
        <f>+Data!AN10</f>
        <v>45292</v>
      </c>
      <c r="K11" s="54">
        <f t="shared" ca="1" si="1"/>
        <v>6.2226383432548111</v>
      </c>
      <c r="L11" s="75">
        <f t="shared" si="2"/>
        <v>1.0530624187879556</v>
      </c>
      <c r="M11" s="624">
        <f t="shared" ca="1" si="3"/>
        <v>21</v>
      </c>
      <c r="N11" s="75">
        <f t="shared" si="4"/>
        <v>1</v>
      </c>
      <c r="O11" s="358">
        <v>1</v>
      </c>
      <c r="P11" s="54">
        <f t="shared" ca="1" si="5"/>
        <v>137.61000000000001</v>
      </c>
      <c r="Q11" s="35">
        <f>+Data!BL10</f>
        <v>32515</v>
      </c>
      <c r="R11" s="53">
        <f t="shared" ca="1" si="6"/>
        <v>4474389</v>
      </c>
      <c r="T11" s="66"/>
      <c r="U11" s="42">
        <f t="shared" ref="U11:U22" si="11">C11</f>
        <v>45231</v>
      </c>
      <c r="V11" s="625">
        <f t="shared" si="7"/>
        <v>4</v>
      </c>
      <c r="W11" s="625">
        <f ca="1">OFFSET([1]MonthlyDays!$F$60,-V11,0)</f>
        <v>21</v>
      </c>
      <c r="X11" s="626"/>
    </row>
    <row r="12" spans="1:24" x14ac:dyDescent="0.2">
      <c r="A12" s="178"/>
      <c r="B12" s="313">
        <f>+Data!BN13</f>
        <v>0.95320743226422966</v>
      </c>
      <c r="C12" s="188">
        <f>+Data!AV13</f>
        <v>45200</v>
      </c>
      <c r="D12" s="190">
        <f>+Data!BQ13</f>
        <v>149.1180524505169</v>
      </c>
      <c r="E12" s="623">
        <f t="shared" ca="1" si="8"/>
        <v>21</v>
      </c>
      <c r="F12" s="189">
        <f t="shared" si="9"/>
        <v>1</v>
      </c>
      <c r="G12" s="190">
        <f t="shared" ca="1" si="10"/>
        <v>7.1008596405008051</v>
      </c>
      <c r="J12" s="52">
        <f>+Data!AN11</f>
        <v>45261</v>
      </c>
      <c r="K12" s="54">
        <f t="shared" ca="1" si="1"/>
        <v>6.2226383432548111</v>
      </c>
      <c r="L12" s="75">
        <f t="shared" si="2"/>
        <v>1.0445724587399752</v>
      </c>
      <c r="M12" s="624">
        <f t="shared" ca="1" si="3"/>
        <v>20</v>
      </c>
      <c r="N12" s="75">
        <f t="shared" si="4"/>
        <v>1</v>
      </c>
      <c r="O12" s="358">
        <v>1</v>
      </c>
      <c r="P12" s="54">
        <f t="shared" ca="1" si="5"/>
        <v>130</v>
      </c>
      <c r="Q12" s="35">
        <f>+Data!BL11</f>
        <v>37641</v>
      </c>
      <c r="R12" s="53">
        <f t="shared" ca="1" si="6"/>
        <v>4893330</v>
      </c>
      <c r="T12" s="66"/>
      <c r="U12" s="42">
        <f t="shared" si="11"/>
        <v>45200</v>
      </c>
      <c r="V12" s="625">
        <f t="shared" si="7"/>
        <v>5</v>
      </c>
      <c r="W12" s="625">
        <f ca="1">OFFSET([1]MonthlyDays!$F$60,-V12,0)</f>
        <v>21</v>
      </c>
      <c r="X12" s="626"/>
    </row>
    <row r="13" spans="1:24" x14ac:dyDescent="0.2">
      <c r="A13" s="178"/>
      <c r="B13" s="313">
        <f>+Data!BN14</f>
        <v>0.95966901885398148</v>
      </c>
      <c r="C13" s="188">
        <f>+Data!AV14</f>
        <v>45170</v>
      </c>
      <c r="D13" s="190">
        <f>+Data!BQ14</f>
        <v>129.29934142654267</v>
      </c>
      <c r="E13" s="623">
        <f t="shared" ref="E13:E19" ca="1" si="12">W13</f>
        <v>20</v>
      </c>
      <c r="F13" s="189">
        <f t="shared" ref="F13" si="13">1/VLOOKUP(C13,$A$81:$C$104,3)</f>
        <v>1</v>
      </c>
      <c r="G13" s="190">
        <f t="shared" ref="G13" ca="1" si="14">D13/E13/F13</f>
        <v>6.4649670713271332</v>
      </c>
      <c r="J13" s="52">
        <f>+Data!AN12</f>
        <v>45231</v>
      </c>
      <c r="K13" s="54">
        <f t="shared" ca="1" si="1"/>
        <v>6.2226383432548111</v>
      </c>
      <c r="L13" s="75">
        <f t="shared" si="2"/>
        <v>1.0364215451075185</v>
      </c>
      <c r="M13" s="624">
        <f t="shared" ca="1" si="3"/>
        <v>21</v>
      </c>
      <c r="N13" s="75">
        <f t="shared" si="4"/>
        <v>1</v>
      </c>
      <c r="O13" s="358">
        <v>1</v>
      </c>
      <c r="P13" s="54">
        <f t="shared" ca="1" si="5"/>
        <v>135.43</v>
      </c>
      <c r="Q13" s="35">
        <f>+Data!BL12</f>
        <v>37790</v>
      </c>
      <c r="R13" s="53">
        <f t="shared" ca="1" si="6"/>
        <v>5117900</v>
      </c>
      <c r="U13" s="42">
        <f t="shared" si="11"/>
        <v>45170</v>
      </c>
      <c r="V13" s="625">
        <f t="shared" si="7"/>
        <v>6</v>
      </c>
      <c r="W13" s="625">
        <f ca="1">OFFSET([1]MonthlyDays!$F$60,-V13,0)</f>
        <v>20</v>
      </c>
      <c r="X13" s="626"/>
    </row>
    <row r="14" spans="1:24" x14ac:dyDescent="0.2">
      <c r="A14" s="178"/>
      <c r="B14" s="313">
        <f>+Data!BN15</f>
        <v>0.96607216938916862</v>
      </c>
      <c r="C14" s="188">
        <f>+Data!AV15</f>
        <v>45139</v>
      </c>
      <c r="D14" s="190">
        <f>+Data!BQ15</f>
        <v>133.99423437072033</v>
      </c>
      <c r="E14" s="623">
        <f t="shared" ca="1" si="12"/>
        <v>22</v>
      </c>
      <c r="F14" s="189">
        <f t="shared" ref="F14" si="15">1/VLOOKUP(C14,$A$81:$C$104,3)</f>
        <v>1</v>
      </c>
      <c r="G14" s="190">
        <f t="shared" ref="G14" ca="1" si="16">D14/E14/F14</f>
        <v>6.0906470168509239</v>
      </c>
      <c r="J14" s="52">
        <f>+Data!AN13</f>
        <v>45200</v>
      </c>
      <c r="K14" s="54">
        <f t="shared" ca="1" si="1"/>
        <v>6.2226383432548111</v>
      </c>
      <c r="L14" s="75">
        <f t="shared" si="2"/>
        <v>1.028065746482631</v>
      </c>
      <c r="M14" s="624">
        <f t="shared" ca="1" si="3"/>
        <v>21</v>
      </c>
      <c r="N14" s="75">
        <f t="shared" si="4"/>
        <v>1</v>
      </c>
      <c r="O14" s="358">
        <v>1</v>
      </c>
      <c r="P14" s="54">
        <f t="shared" ca="1" si="5"/>
        <v>134.34</v>
      </c>
      <c r="Q14" s="35">
        <f>+Data!BL13</f>
        <v>39598</v>
      </c>
      <c r="R14" s="53">
        <f t="shared" ca="1" si="6"/>
        <v>5319595</v>
      </c>
      <c r="U14" s="42">
        <f t="shared" si="11"/>
        <v>45139</v>
      </c>
      <c r="V14" s="625">
        <f t="shared" si="7"/>
        <v>7</v>
      </c>
      <c r="W14" s="625">
        <f ca="1">OFFSET([1]MonthlyDays!$F$60,-V14,0)</f>
        <v>22</v>
      </c>
      <c r="X14" s="626"/>
    </row>
    <row r="15" spans="1:24" x14ac:dyDescent="0.2">
      <c r="A15" s="178"/>
      <c r="B15" s="313">
        <f>+Data!BN16</f>
        <v>0.9713465065989646</v>
      </c>
      <c r="C15" s="188">
        <f>+Data!AV16</f>
        <v>45108</v>
      </c>
      <c r="D15" s="190">
        <f>+Data!BQ16</f>
        <v>123.03064241454632</v>
      </c>
      <c r="E15" s="623">
        <f t="shared" ca="1" si="12"/>
        <v>20</v>
      </c>
      <c r="F15" s="189">
        <f t="shared" ref="F15" si="17">1/VLOOKUP(C15,$A$81:$C$104,3)</f>
        <v>1</v>
      </c>
      <c r="G15" s="190">
        <f t="shared" ref="G15" ca="1" si="18">D15/E15/F15</f>
        <v>6.1515321207273157</v>
      </c>
      <c r="J15" s="52">
        <f>+Data!AN14</f>
        <v>45170</v>
      </c>
      <c r="K15" s="54">
        <f t="shared" ca="1" si="1"/>
        <v>6.2226383432548111</v>
      </c>
      <c r="L15" s="75">
        <f t="shared" si="2"/>
        <v>1.0200436365390326</v>
      </c>
      <c r="M15" s="624">
        <f t="shared" ca="1" si="3"/>
        <v>20</v>
      </c>
      <c r="N15" s="75">
        <f t="shared" si="4"/>
        <v>1</v>
      </c>
      <c r="O15" s="358">
        <v>1</v>
      </c>
      <c r="P15" s="54">
        <f t="shared" ca="1" si="5"/>
        <v>126.95</v>
      </c>
      <c r="Q15" s="35">
        <f>+Data!BL14</f>
        <v>39369</v>
      </c>
      <c r="R15" s="53">
        <f t="shared" ca="1" si="6"/>
        <v>4997895</v>
      </c>
      <c r="U15" s="42">
        <f t="shared" si="11"/>
        <v>45108</v>
      </c>
      <c r="V15" s="625">
        <f t="shared" si="7"/>
        <v>8</v>
      </c>
      <c r="W15" s="625">
        <f ca="1">OFFSET([1]MonthlyDays!$F$60,-V15,0)</f>
        <v>20</v>
      </c>
      <c r="X15" s="626"/>
    </row>
    <row r="16" spans="1:24" x14ac:dyDescent="0.2">
      <c r="A16" s="178"/>
      <c r="B16" s="313">
        <f>+Data!BN17</f>
        <v>0.97585716712579107</v>
      </c>
      <c r="C16" s="188">
        <f>+Data!AV17</f>
        <v>45078</v>
      </c>
      <c r="D16" s="190">
        <f>+Data!BQ17</f>
        <v>126.52959433282297</v>
      </c>
      <c r="E16" s="623">
        <f t="shared" ca="1" si="12"/>
        <v>21</v>
      </c>
      <c r="F16" s="189">
        <f t="shared" ref="F16:F17" si="19">1/VLOOKUP(C16,$A$81:$C$104,3)</f>
        <v>1</v>
      </c>
      <c r="G16" s="190">
        <f t="shared" ref="G16:G17" ca="1" si="20">D16/E16/F16</f>
        <v>6.0252187777534747</v>
      </c>
      <c r="J16" s="52">
        <f>+Data!AN15</f>
        <v>45139</v>
      </c>
      <c r="K16" s="54">
        <f t="shared" ca="1" si="1"/>
        <v>6.2226383432548111</v>
      </c>
      <c r="L16" s="75">
        <f t="shared" si="2"/>
        <v>1.0118198792698476</v>
      </c>
      <c r="M16" s="624">
        <f t="shared" ca="1" si="3"/>
        <v>22</v>
      </c>
      <c r="N16" s="75">
        <f t="shared" si="4"/>
        <v>1</v>
      </c>
      <c r="O16" s="358">
        <v>1</v>
      </c>
      <c r="P16" s="54">
        <f t="shared" ca="1" si="5"/>
        <v>138.52000000000001</v>
      </c>
      <c r="Q16" s="35">
        <f>+Data!BL15</f>
        <v>39172</v>
      </c>
      <c r="R16" s="53">
        <f t="shared" ca="1" si="6"/>
        <v>5426105</v>
      </c>
      <c r="U16" s="42">
        <f t="shared" si="11"/>
        <v>45078</v>
      </c>
      <c r="V16" s="625">
        <f t="shared" si="7"/>
        <v>9</v>
      </c>
      <c r="W16" s="625">
        <f ca="1">OFFSET([1]MonthlyDays!$F$60,-V16,0)</f>
        <v>21</v>
      </c>
      <c r="X16" s="626"/>
    </row>
    <row r="17" spans="1:29" x14ac:dyDescent="0.2">
      <c r="A17" s="178"/>
      <c r="B17" s="313">
        <f>+Data!BN18</f>
        <v>0.97973430552468965</v>
      </c>
      <c r="C17" s="188">
        <f>+Data!AV18</f>
        <v>45047</v>
      </c>
      <c r="D17" s="190">
        <f>+Data!BQ18</f>
        <v>124.33724690001047</v>
      </c>
      <c r="E17" s="623">
        <f t="shared" ca="1" si="12"/>
        <v>22</v>
      </c>
      <c r="F17" s="189">
        <f t="shared" si="19"/>
        <v>1</v>
      </c>
      <c r="G17" s="190">
        <f t="shared" ca="1" si="20"/>
        <v>5.6516930409095671</v>
      </c>
      <c r="J17" s="52">
        <f>+Data!AN16</f>
        <v>45108</v>
      </c>
      <c r="K17" s="54">
        <f t="shared" ca="1" si="1"/>
        <v>6.2226383432548111</v>
      </c>
      <c r="L17" s="75">
        <f t="shared" si="2"/>
        <v>1.003662423265824</v>
      </c>
      <c r="M17" s="624">
        <f t="shared" ca="1" si="3"/>
        <v>20</v>
      </c>
      <c r="N17" s="75">
        <f t="shared" si="4"/>
        <v>1</v>
      </c>
      <c r="O17" s="358">
        <v>1</v>
      </c>
      <c r="P17" s="54">
        <f t="shared" ca="1" si="5"/>
        <v>124.91</v>
      </c>
      <c r="Q17" s="35">
        <f>+Data!BL16</f>
        <v>39003</v>
      </c>
      <c r="R17" s="53">
        <f t="shared" ca="1" si="6"/>
        <v>4871865</v>
      </c>
      <c r="U17" s="42">
        <f t="shared" si="11"/>
        <v>45047</v>
      </c>
      <c r="V17" s="625">
        <f t="shared" si="7"/>
        <v>10</v>
      </c>
      <c r="W17" s="625">
        <f ca="1">OFFSET([1]MonthlyDays!$F$60,-V17,0)</f>
        <v>22</v>
      </c>
      <c r="X17" s="626"/>
    </row>
    <row r="18" spans="1:29" x14ac:dyDescent="0.2">
      <c r="A18" s="178"/>
      <c r="B18" s="313">
        <f>+Data!BN19</f>
        <v>0.98294217199668188</v>
      </c>
      <c r="C18" s="188">
        <f>+Data!AV19</f>
        <v>45017</v>
      </c>
      <c r="D18" s="190">
        <f>+Data!BQ19</f>
        <v>118.60597099787624</v>
      </c>
      <c r="E18" s="623">
        <f t="shared" ca="1" si="12"/>
        <v>20</v>
      </c>
      <c r="F18" s="189">
        <f t="shared" ref="F18" si="21">1/VLOOKUP(C18,$A$81:$C$104,3)</f>
        <v>1</v>
      </c>
      <c r="G18" s="190">
        <f t="shared" ref="G18" ca="1" si="22">D18/E18/F18</f>
        <v>5.9302985498938119</v>
      </c>
      <c r="J18" s="52">
        <f>+Data!AN17</f>
        <v>45078</v>
      </c>
      <c r="K18" s="54">
        <f t="shared" ca="1" si="1"/>
        <v>6.2226383432548111</v>
      </c>
      <c r="L18" s="75">
        <f t="shared" si="2"/>
        <v>0.99583073513377218</v>
      </c>
      <c r="M18" s="624">
        <f t="shared" ca="1" si="3"/>
        <v>21</v>
      </c>
      <c r="N18" s="75">
        <f t="shared" si="4"/>
        <v>1</v>
      </c>
      <c r="O18" s="358">
        <v>1</v>
      </c>
      <c r="P18" s="54">
        <f t="shared" ca="1" si="5"/>
        <v>130.13</v>
      </c>
      <c r="Q18" s="35">
        <f>+Data!BL17</f>
        <v>38909</v>
      </c>
      <c r="R18" s="53">
        <f t="shared" ca="1" si="6"/>
        <v>5063228</v>
      </c>
      <c r="U18" s="42">
        <f t="shared" si="11"/>
        <v>45017</v>
      </c>
      <c r="V18" s="625">
        <f t="shared" si="7"/>
        <v>11</v>
      </c>
      <c r="W18" s="625">
        <f ca="1">OFFSET([1]MonthlyDays!$F$60,-V18,0)</f>
        <v>20</v>
      </c>
      <c r="X18" s="626"/>
    </row>
    <row r="19" spans="1:29" x14ac:dyDescent="0.2">
      <c r="A19" s="178"/>
      <c r="B19" s="313">
        <f>+Data!BN20</f>
        <v>0.98549633677704296</v>
      </c>
      <c r="C19" s="188">
        <f>+Data!AV20</f>
        <v>44986</v>
      </c>
      <c r="D19" s="190">
        <f>+Data!BQ20</f>
        <v>133.5639877149807</v>
      </c>
      <c r="E19" s="623">
        <f t="shared" ca="1" si="12"/>
        <v>23</v>
      </c>
      <c r="F19" s="189">
        <f t="shared" ref="F19" si="23">1/VLOOKUP(C19,$A$81:$C$104,3)</f>
        <v>1</v>
      </c>
      <c r="G19" s="190">
        <f t="shared" ref="G19" ca="1" si="24">D19/E19/F19</f>
        <v>5.8071299006513346</v>
      </c>
      <c r="J19" s="52">
        <f>+Data!AN18</f>
        <v>45047</v>
      </c>
      <c r="K19" s="54">
        <f t="shared" ca="1" si="1"/>
        <v>6.2226383432548111</v>
      </c>
      <c r="L19" s="75">
        <f t="shared" si="2"/>
        <v>0.98780218620353155</v>
      </c>
      <c r="M19" s="624">
        <f t="shared" ca="1" si="3"/>
        <v>22</v>
      </c>
      <c r="N19" s="75">
        <f t="shared" si="4"/>
        <v>1</v>
      </c>
      <c r="O19" s="358">
        <v>1</v>
      </c>
      <c r="P19" s="54">
        <f t="shared" ca="1" si="5"/>
        <v>135.22999999999999</v>
      </c>
      <c r="Q19" s="35">
        <f>+Data!BL18</f>
        <v>38658</v>
      </c>
      <c r="R19" s="53">
        <f t="shared" ca="1" si="6"/>
        <v>5227721</v>
      </c>
      <c r="U19" s="42">
        <f t="shared" si="11"/>
        <v>44986</v>
      </c>
      <c r="V19" s="625">
        <f t="shared" si="7"/>
        <v>12</v>
      </c>
      <c r="W19" s="625">
        <f ca="1">OFFSET([1]MonthlyDays!$F$60,-V19,0)</f>
        <v>23</v>
      </c>
      <c r="X19" s="626"/>
    </row>
    <row r="20" spans="1:29" x14ac:dyDescent="0.2">
      <c r="A20" s="178"/>
      <c r="B20" s="313">
        <f>+Data!BN21</f>
        <v>0.98786433623630543</v>
      </c>
      <c r="C20" s="188">
        <f>+Data!AV21</f>
        <v>44958</v>
      </c>
      <c r="D20" s="190">
        <f>+Data!BQ21</f>
        <v>117.47706354236719</v>
      </c>
      <c r="E20" s="623">
        <f t="shared" ref="E20:E21" ca="1" si="25">W20</f>
        <v>19</v>
      </c>
      <c r="F20" s="189">
        <f t="shared" ref="F20:F21" si="26">1/VLOOKUP(C20,$A$81:$C$104,3)</f>
        <v>1</v>
      </c>
      <c r="G20" s="190">
        <f t="shared" ref="G20:G21" ca="1" si="27">D20/E20/F20</f>
        <v>6.1830033443351153</v>
      </c>
      <c r="J20" s="52">
        <f>+Data!AN19</f>
        <v>45017</v>
      </c>
      <c r="K20" s="54">
        <f t="shared" ca="1" si="1"/>
        <v>6.2226383432548111</v>
      </c>
      <c r="L20" s="75">
        <f t="shared" si="2"/>
        <v>0.98009425724338162</v>
      </c>
      <c r="M20" s="624">
        <f t="shared" ca="1" si="3"/>
        <v>20</v>
      </c>
      <c r="N20" s="75">
        <f t="shared" si="4"/>
        <v>1</v>
      </c>
      <c r="O20" s="358">
        <v>1</v>
      </c>
      <c r="P20" s="54">
        <f t="shared" ca="1" si="5"/>
        <v>121.98</v>
      </c>
      <c r="Q20" s="35">
        <f>+Data!BL19</f>
        <v>38271</v>
      </c>
      <c r="R20" s="53">
        <f t="shared" ca="1" si="6"/>
        <v>4668297</v>
      </c>
      <c r="U20" s="42">
        <f t="shared" si="11"/>
        <v>44958</v>
      </c>
      <c r="V20" s="625">
        <f t="shared" si="7"/>
        <v>13</v>
      </c>
      <c r="W20" s="625">
        <f ca="1">OFFSET([1]MonthlyDays!$F$60,-V20,0)</f>
        <v>19</v>
      </c>
      <c r="X20" s="626"/>
    </row>
    <row r="21" spans="1:29" x14ac:dyDescent="0.2">
      <c r="A21" s="178"/>
      <c r="B21" s="313">
        <f>+Data!BN22</f>
        <v>0.98992918937245789</v>
      </c>
      <c r="C21" s="188">
        <f>+Data!AV22</f>
        <v>44927</v>
      </c>
      <c r="D21" s="190">
        <f>+Data!BQ22</f>
        <v>116.01377592746509</v>
      </c>
      <c r="E21" s="623">
        <f t="shared" ca="1" si="25"/>
        <v>20</v>
      </c>
      <c r="F21" s="189">
        <f t="shared" si="26"/>
        <v>1</v>
      </c>
      <c r="G21" s="190">
        <f t="shared" ca="1" si="27"/>
        <v>5.8006887963732545</v>
      </c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1"/>
        <v>44927</v>
      </c>
      <c r="V21" s="625">
        <f t="shared" si="7"/>
        <v>14</v>
      </c>
      <c r="W21" s="625">
        <f ca="1">OFFSET([1]MonthlyDays!$F$60,-V21,0)</f>
        <v>20</v>
      </c>
      <c r="X21" s="626"/>
    </row>
    <row r="22" spans="1:29" x14ac:dyDescent="0.2">
      <c r="A22" s="178"/>
      <c r="B22" s="313">
        <f>+Data!BN23</f>
        <v>0.9912511434960084</v>
      </c>
      <c r="C22" s="188"/>
      <c r="D22" s="190"/>
      <c r="E22" s="623"/>
      <c r="F22" s="189"/>
      <c r="G22" s="190"/>
      <c r="K22" s="2"/>
      <c r="L22" s="42"/>
      <c r="U22" s="42">
        <f t="shared" si="11"/>
        <v>0</v>
      </c>
      <c r="V22" s="625">
        <f t="shared" si="7"/>
        <v>15</v>
      </c>
      <c r="W22" s="625">
        <f ca="1">OFFSET([1]MonthlyDays!$F$60,-V22,0)</f>
        <v>20</v>
      </c>
      <c r="X22" s="626"/>
    </row>
    <row r="23" spans="1:29" x14ac:dyDescent="0.2">
      <c r="A23" s="178"/>
      <c r="B23" s="313">
        <f>+Data!BN24</f>
        <v>0.99189101806934477</v>
      </c>
      <c r="C23" s="188"/>
      <c r="D23" s="190"/>
      <c r="E23" s="189"/>
      <c r="F23" s="189"/>
      <c r="G23" s="190"/>
      <c r="K23" s="2"/>
    </row>
    <row r="24" spans="1:29" x14ac:dyDescent="0.2">
      <c r="A24" s="178"/>
      <c r="B24" s="313">
        <f>+Data!BN25</f>
        <v>0.99270528721999796</v>
      </c>
      <c r="C24" s="188"/>
      <c r="D24" s="190"/>
      <c r="E24" s="189"/>
      <c r="F24" s="189"/>
      <c r="G24" s="190"/>
      <c r="K24" s="2"/>
    </row>
    <row r="25" spans="1:29" x14ac:dyDescent="0.2">
      <c r="A25" s="178"/>
      <c r="B25" s="313">
        <f>+Data!BN26</f>
        <v>0.9936981234472646</v>
      </c>
      <c r="C25" s="188"/>
      <c r="D25" s="190"/>
      <c r="E25" s="189"/>
      <c r="F25" s="189"/>
      <c r="G25" s="190"/>
      <c r="S25" t="s">
        <v>417</v>
      </c>
    </row>
    <row r="26" spans="1:29" x14ac:dyDescent="0.2">
      <c r="A26" s="178"/>
      <c r="B26" s="313">
        <f>+Data!BN27</f>
        <v>0.99429894465979018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0.99486627843763187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129.00985689139017</v>
      </c>
      <c r="E29" s="30"/>
      <c r="F29" s="30"/>
      <c r="G29" s="54">
        <f ca="1">AVERAGE(G8:G28)</f>
        <v>6.2226383432548111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45109</v>
      </c>
      <c r="F31" s="30" t="s">
        <v>179</v>
      </c>
      <c r="G31" s="162">
        <v>0.1</v>
      </c>
      <c r="K31" s="52">
        <f t="shared" ref="K31:K42" si="28">+J9</f>
        <v>45352</v>
      </c>
      <c r="L31" s="53">
        <f ca="1">+R9</f>
        <v>4467229</v>
      </c>
      <c r="M31" s="191">
        <v>1</v>
      </c>
      <c r="N31" s="30"/>
      <c r="O31" s="53">
        <f>Data!$BO8</f>
        <v>3119205.6279926137</v>
      </c>
      <c r="P31" s="87">
        <f t="shared" ref="P31:P42" si="29">1-$M31</f>
        <v>0</v>
      </c>
      <c r="Q31" s="30"/>
      <c r="R31" s="53">
        <f t="shared" ref="R31:R42" ca="1" si="30">ROUND($L31*$M31+$O31*$P31,0)</f>
        <v>4467229</v>
      </c>
      <c r="S31" s="88">
        <f>+Data!BN8</f>
        <v>0.18314647642119239</v>
      </c>
      <c r="T31" s="67">
        <f ca="1">+Final!J11</f>
        <v>0.12788050937169324</v>
      </c>
      <c r="U31" s="89">
        <f t="shared" ref="U31:U42" ca="1" si="31">T31-S31</f>
        <v>-5.5265967049499154E-2</v>
      </c>
      <c r="V31" s="450" t="str">
        <f ca="1">IF(Final!L11&lt;0,"Problem","ok")</f>
        <v>ok</v>
      </c>
      <c r="W31" s="66">
        <f ca="1">Final!$R11</f>
        <v>121.90486185425077</v>
      </c>
      <c r="X31" s="43">
        <f ca="1">Final!$L11</f>
        <v>3895957.4800000004</v>
      </c>
      <c r="Y31" s="43">
        <f ca="1">Final!$C11</f>
        <v>4467229</v>
      </c>
      <c r="Z31" s="43">
        <f>Data!$AL$142</f>
        <v>3877540.2099999972</v>
      </c>
      <c r="AA31" s="43">
        <f t="shared" ref="AA31:AA42" ca="1" si="32">Y31-Z31</f>
        <v>589688.79000000283</v>
      </c>
      <c r="AB31" s="43">
        <f ca="1">SUM(AA$31)</f>
        <v>589688.79000000283</v>
      </c>
      <c r="AC31" s="67">
        <f ca="1">AB31/SUM(Y$31)</f>
        <v>0.13200325973886784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28"/>
        <v>45323</v>
      </c>
      <c r="L32" s="53">
        <f t="shared" ref="L32:L42" ca="1" si="33">+R10</f>
        <v>4044505</v>
      </c>
      <c r="M32" s="191">
        <v>0.85</v>
      </c>
      <c r="N32" s="30"/>
      <c r="O32" s="53">
        <f>Data!$BO9</f>
        <v>2812169.1209017569</v>
      </c>
      <c r="P32" s="87">
        <f t="shared" si="29"/>
        <v>0.15000000000000002</v>
      </c>
      <c r="Q32" s="30"/>
      <c r="R32" s="53">
        <f t="shared" ca="1" si="30"/>
        <v>3859655</v>
      </c>
      <c r="S32" s="88">
        <f>+Data!BN9</f>
        <v>0.64704436033936741</v>
      </c>
      <c r="T32" s="67">
        <f ca="1">+Final!J12</f>
        <v>0.47144062616995525</v>
      </c>
      <c r="U32" s="89">
        <f t="shared" ca="1" si="31"/>
        <v>-0.17560373416941216</v>
      </c>
      <c r="V32" s="450" t="str">
        <f ca="1">IF(Final!L12&lt;0,"Problem","ok")</f>
        <v>ok</v>
      </c>
      <c r="W32" s="66">
        <f ca="1">Final!$R12</f>
        <v>63.312545155483875</v>
      </c>
      <c r="X32" s="43">
        <f ca="1">Final!$L12</f>
        <v>2040056.8300000015</v>
      </c>
      <c r="Y32" s="43">
        <f ca="1">Final!$C12</f>
        <v>3859655</v>
      </c>
      <c r="Z32" s="43">
        <f>Data!$AK$142</f>
        <v>3323663.6499999929</v>
      </c>
      <c r="AA32" s="43">
        <f t="shared" ca="1" si="32"/>
        <v>535991.35000000708</v>
      </c>
      <c r="AB32" s="43">
        <f ca="1">SUM(AA31:AA$32)</f>
        <v>1125680.1400000099</v>
      </c>
      <c r="AC32" s="67">
        <f ca="1">AB32/SUM(Y31:Y$32)</f>
        <v>0.13518624013496644</v>
      </c>
    </row>
    <row r="33" spans="1:29" x14ac:dyDescent="0.2">
      <c r="K33" s="52">
        <f t="shared" si="28"/>
        <v>45292</v>
      </c>
      <c r="L33" s="53">
        <f t="shared" ca="1" si="33"/>
        <v>4474389</v>
      </c>
      <c r="M33" s="191">
        <v>0.2</v>
      </c>
      <c r="N33" s="30"/>
      <c r="O33" s="53">
        <f>Data!$BO10</f>
        <v>4043548.1786616375</v>
      </c>
      <c r="P33" s="87">
        <f t="shared" si="29"/>
        <v>0.8</v>
      </c>
      <c r="Q33" s="30"/>
      <c r="R33" s="53">
        <f t="shared" ca="1" si="30"/>
        <v>4129716</v>
      </c>
      <c r="S33" s="88">
        <f>+Data!BN10</f>
        <v>0.86030263182158717</v>
      </c>
      <c r="T33" s="67">
        <f ca="1">+Final!J13</f>
        <v>0.84235214721786977</v>
      </c>
      <c r="U33" s="89">
        <f t="shared" ca="1" si="31"/>
        <v>-1.7950484603717398E-2</v>
      </c>
      <c r="V33" s="450" t="str">
        <f ca="1">IF(Final!L13&lt;0,"Problem","ok")</f>
        <v>ok</v>
      </c>
      <c r="W33" s="66">
        <f ca="1">Final!$R13</f>
        <v>20.022785176072823</v>
      </c>
      <c r="X33" s="43">
        <f ca="1">Final!$L13</f>
        <v>651040.86000000779</v>
      </c>
      <c r="Y33" s="43">
        <f ca="1">Final!$C13</f>
        <v>4129716</v>
      </c>
      <c r="Z33" s="43">
        <f>Data!$AJ$142</f>
        <v>5395969.1799999913</v>
      </c>
      <c r="AA33" s="43">
        <f t="shared" ca="1" si="32"/>
        <v>-1266253.1799999913</v>
      </c>
      <c r="AB33" s="43">
        <f ca="1">SUM(AA31:AA$33)</f>
        <v>-140573.03999998141</v>
      </c>
      <c r="AC33" s="67">
        <f ca="1">AB33/SUM(Y31:Y$33)</f>
        <v>-1.1285024806125379E-2</v>
      </c>
    </row>
    <row r="34" spans="1:29" x14ac:dyDescent="0.2">
      <c r="C34" s="3" t="s">
        <v>342</v>
      </c>
      <c r="D34" s="48"/>
      <c r="K34" s="52">
        <f t="shared" si="28"/>
        <v>45261</v>
      </c>
      <c r="L34" s="53">
        <f t="shared" ca="1" si="33"/>
        <v>4893330</v>
      </c>
      <c r="M34" s="191">
        <v>0</v>
      </c>
      <c r="N34" s="30"/>
      <c r="O34" s="53">
        <f>Data!$BO11</f>
        <v>4990960.5424498338</v>
      </c>
      <c r="P34" s="87">
        <f t="shared" si="29"/>
        <v>1</v>
      </c>
      <c r="Q34" s="30"/>
      <c r="R34" s="53">
        <f t="shared" ca="1" si="30"/>
        <v>4990961</v>
      </c>
      <c r="S34" s="88">
        <f>+Data!BN11</f>
        <v>0.92422314317391896</v>
      </c>
      <c r="T34" s="67">
        <f ca="1">+Final!J14</f>
        <v>0.92422305844505548</v>
      </c>
      <c r="U34" s="89">
        <f t="shared" ca="1" si="31"/>
        <v>-8.4728863480876271E-8</v>
      </c>
      <c r="V34" s="450" t="str">
        <f ca="1">IF(Final!L14&lt;0,"Problem","ok")</f>
        <v>ok</v>
      </c>
      <c r="W34" s="66">
        <f ca="1">Final!$R14</f>
        <v>10.04754815228095</v>
      </c>
      <c r="X34" s="43">
        <f ca="1">Final!$L14</f>
        <v>378199.76000000723</v>
      </c>
      <c r="Y34" s="43">
        <f ca="1">Final!$C14</f>
        <v>4990961</v>
      </c>
      <c r="Z34" s="43">
        <f>Data!$AI$142</f>
        <v>5333947.7200000016</v>
      </c>
      <c r="AA34" s="43">
        <f t="shared" ca="1" si="32"/>
        <v>-342986.7200000016</v>
      </c>
      <c r="AB34" s="43">
        <f ca="1">SUM(AA31:AA$34)</f>
        <v>-483559.75999998301</v>
      </c>
      <c r="AC34" s="67">
        <f ca="1">AB34/SUM(Y31:Y$34)</f>
        <v>-2.7715034783370753E-2</v>
      </c>
    </row>
    <row r="35" spans="1:29" x14ac:dyDescent="0.2">
      <c r="B35" s="67"/>
      <c r="C35" s="130" t="s">
        <v>343</v>
      </c>
      <c r="G35" s="2"/>
      <c r="H35" s="2"/>
      <c r="K35" s="52">
        <f t="shared" si="28"/>
        <v>45231</v>
      </c>
      <c r="L35" s="53">
        <f t="shared" ca="1" si="33"/>
        <v>5117900</v>
      </c>
      <c r="M35" s="191">
        <v>0</v>
      </c>
      <c r="N35" s="30"/>
      <c r="O35" s="53">
        <f>Data!$BO12</f>
        <v>5424929.9932377823</v>
      </c>
      <c r="P35" s="87">
        <f t="shared" si="29"/>
        <v>1</v>
      </c>
      <c r="Q35" s="30"/>
      <c r="R35" s="53">
        <f t="shared" ca="1" si="30"/>
        <v>5424930</v>
      </c>
      <c r="S35" s="88">
        <f>+Data!BN12</f>
        <v>0.9461765251161306</v>
      </c>
      <c r="T35" s="67">
        <f ca="1">+Final!J15</f>
        <v>0.94617652393671403</v>
      </c>
      <c r="U35" s="89">
        <f t="shared" ca="1" si="31"/>
        <v>-1.1794165644118948E-9</v>
      </c>
      <c r="V35" s="450" t="str">
        <f ca="1">IF(Final!L15&lt;0,"Problem","ok")</f>
        <v>ok</v>
      </c>
      <c r="W35" s="66">
        <f ca="1">Final!$R15</f>
        <v>7.7266099497221941</v>
      </c>
      <c r="X35" s="43">
        <f ca="1">Final!$L15</f>
        <v>291988.59000000171</v>
      </c>
      <c r="Y35" s="43">
        <f ca="1">Final!$C15</f>
        <v>5424930</v>
      </c>
      <c r="Z35" s="43">
        <f>Data!$AH$142</f>
        <v>5226868.5000000019</v>
      </c>
      <c r="AA35" s="43">
        <f t="shared" ca="1" si="32"/>
        <v>198061.49999999814</v>
      </c>
      <c r="AB35" s="43">
        <f ca="1">SUM(AA31:AA$35)</f>
        <v>-285498.25999998488</v>
      </c>
      <c r="AC35" s="67">
        <f ca="1">AB35/SUM(Y31:Y$35)</f>
        <v>-1.2482167333675413E-2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28"/>
        <v>45200</v>
      </c>
      <c r="L36" s="53">
        <f t="shared" ca="1" si="33"/>
        <v>5319595</v>
      </c>
      <c r="M36" s="191">
        <v>0</v>
      </c>
      <c r="N36" s="30"/>
      <c r="O36" s="53">
        <f>Data!$BO13</f>
        <v>5904776.6409355681</v>
      </c>
      <c r="P36" s="87">
        <f t="shared" si="29"/>
        <v>1</v>
      </c>
      <c r="Q36" s="30"/>
      <c r="R36" s="53">
        <f t="shared" ca="1" si="30"/>
        <v>5904777</v>
      </c>
      <c r="S36" s="88">
        <f>+Data!BN13</f>
        <v>0.95320743226422966</v>
      </c>
      <c r="T36" s="67">
        <f ca="1">+Final!J16</f>
        <v>0.95320737430050206</v>
      </c>
      <c r="U36" s="89">
        <f t="shared" ca="1" si="31"/>
        <v>-5.7963727595478076E-8</v>
      </c>
      <c r="V36" s="450" t="str">
        <f ca="1">IF(Final!L16&lt;0,"Problem","ok")</f>
        <v>ok</v>
      </c>
      <c r="W36" s="66">
        <f ca="1">Final!$R16</f>
        <v>6.9776256376585737</v>
      </c>
      <c r="X36" s="43">
        <f ca="1">Final!$L16</f>
        <v>276300.02000000421</v>
      </c>
      <c r="Y36" s="43">
        <f ca="1">Final!$C16</f>
        <v>5904777</v>
      </c>
      <c r="Z36" s="43">
        <f>Data!$AG$142</f>
        <v>5645364.459999986</v>
      </c>
      <c r="AA36" s="43">
        <f t="shared" ca="1" si="32"/>
        <v>259412.54000001401</v>
      </c>
      <c r="AB36" s="43">
        <f ca="1">SUM(AA31:AA$36)</f>
        <v>-26085.719999970868</v>
      </c>
      <c r="AC36" s="67">
        <f ca="1">AB36/SUM(Y31:Y$36)</f>
        <v>-9.064696481949179E-4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8.6949527675509897E-2</v>
      </c>
      <c r="H37" s="70">
        <f ca="1">+LeastSq!F11</f>
        <v>8.6949527675509897E-2</v>
      </c>
      <c r="I37" s="29"/>
      <c r="K37" s="52">
        <f t="shared" si="28"/>
        <v>45170</v>
      </c>
      <c r="L37" s="53">
        <f t="shared" ca="1" si="33"/>
        <v>4997895</v>
      </c>
      <c r="M37" s="191">
        <v>0</v>
      </c>
      <c r="N37" s="30"/>
      <c r="O37" s="53">
        <f>Data!$BO14</f>
        <v>5090385.772621558</v>
      </c>
      <c r="P37" s="87">
        <f t="shared" si="29"/>
        <v>1</v>
      </c>
      <c r="Q37" s="30"/>
      <c r="R37" s="53">
        <f t="shared" ca="1" si="30"/>
        <v>5090386</v>
      </c>
      <c r="S37" s="88">
        <f>+Data!BN14</f>
        <v>0.95966901885398148</v>
      </c>
      <c r="T37" s="67">
        <f ca="1">+Final!J17</f>
        <v>0.95966897598728207</v>
      </c>
      <c r="U37" s="89">
        <f t="shared" ca="1" si="31"/>
        <v>-4.2866699412336118E-8</v>
      </c>
      <c r="V37" s="450" t="str">
        <f ca="1">IF(Final!L17&lt;0,"Problem","ok")</f>
        <v>ok</v>
      </c>
      <c r="W37" s="66">
        <f ca="1">Final!$R17</f>
        <v>5.2147750768371877</v>
      </c>
      <c r="X37" s="43">
        <f ca="1">Final!$L17</f>
        <v>205300.48000000324</v>
      </c>
      <c r="Y37" s="43">
        <f ca="1">Final!$C17</f>
        <v>5090386</v>
      </c>
      <c r="Z37" s="43">
        <f>Data!$AF$142</f>
        <v>5026007.420000013</v>
      </c>
      <c r="AA37" s="43">
        <f t="shared" ca="1" si="32"/>
        <v>64378.579999987036</v>
      </c>
      <c r="AB37" s="43">
        <f ca="1">SUM(AA31:AA$37)</f>
        <v>38292.860000016168</v>
      </c>
      <c r="AC37" s="67">
        <f ca="1">AB37/SUM(Y31:Y$37)</f>
        <v>1.1306617222443624E-3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9.2521588259768306E-2</v>
      </c>
      <c r="H38" s="70">
        <f ca="1">+LeastSq!F12</f>
        <v>9.2521588259768306E-2</v>
      </c>
      <c r="I38" s="67"/>
      <c r="K38" s="52">
        <f t="shared" si="28"/>
        <v>45139</v>
      </c>
      <c r="L38" s="53">
        <f t="shared" ca="1" si="33"/>
        <v>5426105</v>
      </c>
      <c r="M38" s="191">
        <v>0</v>
      </c>
      <c r="N38" s="30"/>
      <c r="O38" s="53">
        <f>Data!$BO15</f>
        <v>5248822.1487698574</v>
      </c>
      <c r="P38" s="87">
        <f t="shared" si="29"/>
        <v>1</v>
      </c>
      <c r="Q38" s="30"/>
      <c r="R38" s="53">
        <f t="shared" ca="1" si="30"/>
        <v>5248822</v>
      </c>
      <c r="S38" s="88">
        <f>+Data!BN15</f>
        <v>0.96607216938916862</v>
      </c>
      <c r="T38" s="67">
        <f ca="1">+Final!J18</f>
        <v>0.96607219677101142</v>
      </c>
      <c r="U38" s="89">
        <f t="shared" ca="1" si="31"/>
        <v>2.7381842793161582E-8</v>
      </c>
      <c r="V38" s="450" t="str">
        <f ca="1">IF(Final!L18&lt;0,"Problem","ok")</f>
        <v>ok</v>
      </c>
      <c r="W38" s="66">
        <f ca="1">Final!$R18</f>
        <v>4.5461298886956509</v>
      </c>
      <c r="X38" s="43">
        <f ca="1">Final!$L18</f>
        <v>178080.99999998603</v>
      </c>
      <c r="Y38" s="43">
        <f ca="1">Final!$C18</f>
        <v>5248822</v>
      </c>
      <c r="Z38" s="43">
        <f>Data!$AE$142</f>
        <v>4711315.7599999821</v>
      </c>
      <c r="AA38" s="43">
        <f t="shared" ca="1" si="32"/>
        <v>537506.24000001792</v>
      </c>
      <c r="AB38" s="43">
        <f ca="1">SUM(AA31:AA$38)</f>
        <v>575799.10000003409</v>
      </c>
      <c r="AC38" s="67">
        <f ca="1">AB38/SUM(Y31:Y$38)</f>
        <v>1.4720116914418213E-2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8.7460148329946197E-2</v>
      </c>
      <c r="H39" s="70">
        <f ca="1">+LeastSq!F13</f>
        <v>8.7460148329946197E-2</v>
      </c>
      <c r="I39" s="67"/>
      <c r="K39" s="52">
        <f t="shared" si="28"/>
        <v>45108</v>
      </c>
      <c r="L39" s="53">
        <f t="shared" ca="1" si="33"/>
        <v>4871865</v>
      </c>
      <c r="M39" s="191">
        <v>0</v>
      </c>
      <c r="N39" s="30"/>
      <c r="O39" s="53">
        <f>Data!$BO16</f>
        <v>4798564.1460945504</v>
      </c>
      <c r="P39" s="87">
        <f t="shared" si="29"/>
        <v>1</v>
      </c>
      <c r="Q39" s="30"/>
      <c r="R39" s="53">
        <f t="shared" ca="1" si="30"/>
        <v>4798564</v>
      </c>
      <c r="S39" s="88">
        <f>+Data!BN16</f>
        <v>0.9713465065989646</v>
      </c>
      <c r="T39" s="67">
        <f ca="1">+Final!J19</f>
        <v>0.97134653617206823</v>
      </c>
      <c r="U39" s="89">
        <f t="shared" ca="1" si="31"/>
        <v>2.9573103632607456E-8</v>
      </c>
      <c r="V39" s="450" t="str">
        <f ca="1">IF(Final!L19&lt;0,"Problem","ok")</f>
        <v>ok</v>
      </c>
      <c r="W39" s="66">
        <f ca="1">Final!$R19</f>
        <v>3.5252539548243815</v>
      </c>
      <c r="X39" s="43">
        <f ca="1">Final!$L19</f>
        <v>137495.48000001535</v>
      </c>
      <c r="Y39" s="43">
        <f ca="1">Final!$C19</f>
        <v>4798564</v>
      </c>
      <c r="Z39" s="43">
        <f>Data!$AD$142</f>
        <v>4525300.0899999943</v>
      </c>
      <c r="AA39" s="43">
        <f t="shared" ca="1" si="32"/>
        <v>273263.91000000574</v>
      </c>
      <c r="AB39" s="43">
        <f ca="1">SUM(AA31:AA$39)</f>
        <v>849063.01000003982</v>
      </c>
      <c r="AC39" s="67">
        <f ca="1">AB39/SUM(Y31:Y$39)</f>
        <v>1.9334219210549276E-2</v>
      </c>
    </row>
    <row r="40" spans="1:29" x14ac:dyDescent="0.2">
      <c r="B40" s="67"/>
      <c r="I40" s="67"/>
      <c r="K40" s="52">
        <f t="shared" si="28"/>
        <v>45078</v>
      </c>
      <c r="L40" s="53">
        <f t="shared" ca="1" si="33"/>
        <v>5063228</v>
      </c>
      <c r="M40" s="191">
        <v>0</v>
      </c>
      <c r="N40" s="30"/>
      <c r="O40" s="53">
        <f>Data!$BO17</f>
        <v>4923139.9858958088</v>
      </c>
      <c r="P40" s="87">
        <f t="shared" si="29"/>
        <v>1</v>
      </c>
      <c r="Q40" s="30"/>
      <c r="R40" s="53">
        <f t="shared" ca="1" si="30"/>
        <v>4923140</v>
      </c>
      <c r="S40" s="88">
        <f>+Data!BN17</f>
        <v>0.97585716712579107</v>
      </c>
      <c r="T40" s="67">
        <f ca="1">+Final!J20</f>
        <v>0.97585716433008018</v>
      </c>
      <c r="U40" s="89">
        <f t="shared" ca="1" si="31"/>
        <v>-2.7957108850173995E-9</v>
      </c>
      <c r="V40" s="450" t="str">
        <f ca="1">IF(Final!L20&lt;0,"Problem","ok")</f>
        <v>ok</v>
      </c>
      <c r="W40" s="66">
        <f ca="1">Final!$R20</f>
        <v>3.0547832121105376</v>
      </c>
      <c r="X40" s="43">
        <f ca="1">Final!$L20</f>
        <v>118858.5600000089</v>
      </c>
      <c r="Y40" s="43">
        <f ca="1">Final!$C20</f>
        <v>4923140</v>
      </c>
      <c r="Z40" s="43">
        <f>Data!$AC$142</f>
        <v>4803201.339999998</v>
      </c>
      <c r="AA40" s="43">
        <f t="shared" ca="1" si="32"/>
        <v>119938.66000000201</v>
      </c>
      <c r="AB40" s="43">
        <f ca="1">SUM(AA31:AA$40)</f>
        <v>969001.67000004184</v>
      </c>
      <c r="AC40" s="67">
        <f ca="1">AB40/SUM(Y31:Y$40)</f>
        <v>1.9841068401812718E-2</v>
      </c>
    </row>
    <row r="41" spans="1:29" x14ac:dyDescent="0.2">
      <c r="B41" s="67"/>
      <c r="C41" s="130" t="s">
        <v>664</v>
      </c>
      <c r="G41" s="29"/>
      <c r="K41" s="52">
        <f t="shared" si="28"/>
        <v>45047</v>
      </c>
      <c r="L41" s="53">
        <f t="shared" ca="1" si="33"/>
        <v>5227721</v>
      </c>
      <c r="M41" s="191">
        <v>0</v>
      </c>
      <c r="N41" s="30"/>
      <c r="O41" s="53">
        <f>Data!$BO18</f>
        <v>4806629.2906606048</v>
      </c>
      <c r="P41" s="87">
        <f t="shared" si="29"/>
        <v>1</v>
      </c>
      <c r="Q41" s="30"/>
      <c r="R41" s="53">
        <f t="shared" ca="1" si="30"/>
        <v>4806629</v>
      </c>
      <c r="S41" s="88">
        <f>+Data!BN18</f>
        <v>0.97973430552468965</v>
      </c>
      <c r="T41" s="67">
        <f ca="1">+Final!J21</f>
        <v>0.97973436476998732</v>
      </c>
      <c r="U41" s="89">
        <f t="shared" ca="1" si="31"/>
        <v>5.9245297667764873E-8</v>
      </c>
      <c r="V41" s="450" t="str">
        <f ca="1">IF(Final!L21&lt;0,"Problem","ok")</f>
        <v>ok</v>
      </c>
      <c r="W41" s="66">
        <f ca="1">Final!$R21</f>
        <v>2.5197731388069893</v>
      </c>
      <c r="X41" s="43">
        <f ca="1">Final!$L21</f>
        <v>97409.390000000596</v>
      </c>
      <c r="Y41" s="43">
        <f ca="1">Final!$C21</f>
        <v>4806629</v>
      </c>
      <c r="Z41" s="43">
        <f>Data!$AB$142</f>
        <v>4653392.6099999966</v>
      </c>
      <c r="AA41" s="43">
        <f t="shared" ca="1" si="32"/>
        <v>153236.39000000339</v>
      </c>
      <c r="AB41" s="43">
        <f ca="1">SUM(AA31:AA$41)</f>
        <v>1122238.0600000452</v>
      </c>
      <c r="AC41" s="67">
        <f ca="1">AB41/SUM(Y31:Y$41)</f>
        <v>2.0919788529772661E-2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8.5005786115892754E-2</v>
      </c>
      <c r="H42" s="70">
        <f ca="1">Trends!$W$30</f>
        <v>8.5005786115892754E-2</v>
      </c>
      <c r="I42" s="67"/>
      <c r="K42" s="52">
        <f t="shared" si="28"/>
        <v>45017</v>
      </c>
      <c r="L42" s="53">
        <f t="shared" ca="1" si="33"/>
        <v>4668297</v>
      </c>
      <c r="M42" s="191">
        <v>0</v>
      </c>
      <c r="N42" s="30"/>
      <c r="O42" s="53">
        <f>Data!$BO19</f>
        <v>4539169.1160597214</v>
      </c>
      <c r="P42" s="87">
        <f t="shared" si="29"/>
        <v>1</v>
      </c>
      <c r="Q42" s="30"/>
      <c r="R42" s="53">
        <f t="shared" ca="1" si="30"/>
        <v>4539169</v>
      </c>
      <c r="S42" s="88">
        <f>+Data!BN19</f>
        <v>0.98294217199668188</v>
      </c>
      <c r="T42" s="67">
        <f ca="1">+Final!J22</f>
        <v>0.98294219712903419</v>
      </c>
      <c r="U42" s="89">
        <f t="shared" ca="1" si="31"/>
        <v>2.5132352310386352E-8</v>
      </c>
      <c r="V42" s="450" t="str">
        <f ca="1">IF(Final!L22&lt;0,"Problem","ok")</f>
        <v>ok</v>
      </c>
      <c r="W42" s="66">
        <f ca="1">Final!$R22</f>
        <v>2.0231572208721764</v>
      </c>
      <c r="X42" s="43">
        <f ca="1">Final!$L22</f>
        <v>77428.249999999069</v>
      </c>
      <c r="Y42" s="43">
        <f ca="1">Final!$C22</f>
        <v>4539169</v>
      </c>
      <c r="Z42" s="43">
        <f>Data!$AA$142</f>
        <v>4154075.8699999978</v>
      </c>
      <c r="AA42" s="43">
        <f t="shared" ca="1" si="32"/>
        <v>385093.13000000222</v>
      </c>
      <c r="AB42" s="43">
        <f ca="1">SUM(AA31:AA$42)</f>
        <v>1507331.1900000474</v>
      </c>
      <c r="AC42" s="67">
        <f ca="1">AB42/SUM(Y31:Y$42)</f>
        <v>2.5906293137950235E-2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8.2831542911189326E-2</v>
      </c>
      <c r="H43" s="70">
        <f ca="1">Trends!$X$30</f>
        <v>8.2831542911189326E-2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7.9813530917986666E-2</v>
      </c>
      <c r="H44" s="70">
        <f ca="1">Trends!$Y$30</f>
        <v>7.9813530917986666E-2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4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4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4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4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4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4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4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4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4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4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4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4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4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4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4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4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4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4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4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5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6">IF(A52&gt;0,A52,DATE(1990,12,31))</f>
        <v>36526</v>
      </c>
      <c r="B82" s="76">
        <f t="shared" ref="B82:B102" si="37">IF(B52&lt;&gt;0,1+B52,1)</f>
        <v>1</v>
      </c>
      <c r="C82" s="76">
        <f t="shared" si="35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6"/>
        <v>40179</v>
      </c>
      <c r="B83" s="76">
        <f t="shared" si="37"/>
        <v>1</v>
      </c>
      <c r="C83" s="76">
        <f t="shared" si="35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6"/>
        <v>40179</v>
      </c>
      <c r="B84" s="76">
        <f t="shared" si="37"/>
        <v>1</v>
      </c>
      <c r="C84" s="76">
        <f t="shared" si="35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6"/>
        <v>40179</v>
      </c>
      <c r="B85" s="76">
        <f t="shared" si="37"/>
        <v>1</v>
      </c>
      <c r="C85" s="76">
        <f t="shared" si="35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6"/>
        <v>40179</v>
      </c>
      <c r="B86" s="76">
        <f t="shared" si="37"/>
        <v>1</v>
      </c>
      <c r="C86" s="76">
        <f t="shared" si="35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6"/>
        <v>40179</v>
      </c>
      <c r="B87" s="76">
        <f t="shared" si="37"/>
        <v>1</v>
      </c>
      <c r="C87" s="76">
        <f t="shared" si="35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6"/>
        <v>40179</v>
      </c>
      <c r="B88" s="76">
        <f t="shared" si="37"/>
        <v>1</v>
      </c>
      <c r="C88" s="76">
        <f t="shared" si="35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6"/>
        <v>40179</v>
      </c>
      <c r="B89" s="76">
        <f t="shared" si="37"/>
        <v>1</v>
      </c>
      <c r="C89" s="76">
        <f t="shared" si="35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6"/>
        <v>40179</v>
      </c>
      <c r="B90" s="76">
        <f t="shared" si="37"/>
        <v>1</v>
      </c>
      <c r="C90" s="76">
        <f t="shared" si="35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6"/>
        <v>40179</v>
      </c>
      <c r="B91" s="76">
        <f t="shared" si="37"/>
        <v>1</v>
      </c>
      <c r="C91" s="76">
        <f t="shared" si="35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6"/>
        <v>40179</v>
      </c>
      <c r="B92" s="76">
        <f t="shared" si="37"/>
        <v>1</v>
      </c>
      <c r="C92" s="76">
        <f t="shared" si="35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6"/>
        <v>40179</v>
      </c>
      <c r="B93" s="76">
        <f t="shared" si="37"/>
        <v>1</v>
      </c>
      <c r="C93" s="76">
        <f t="shared" si="35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6"/>
        <v>40179</v>
      </c>
      <c r="B94" s="76">
        <f t="shared" si="37"/>
        <v>1</v>
      </c>
      <c r="C94" s="76">
        <f t="shared" si="35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6"/>
        <v>40179</v>
      </c>
      <c r="B95" s="76">
        <f t="shared" si="37"/>
        <v>1</v>
      </c>
      <c r="C95" s="76">
        <f t="shared" si="35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6"/>
        <v>40179</v>
      </c>
      <c r="B96" s="76">
        <f t="shared" si="37"/>
        <v>1</v>
      </c>
      <c r="C96" s="76">
        <f t="shared" si="35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6"/>
        <v>40179</v>
      </c>
      <c r="B97" s="76">
        <f t="shared" si="37"/>
        <v>1</v>
      </c>
      <c r="C97" s="76">
        <f t="shared" si="35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6"/>
        <v>40179</v>
      </c>
      <c r="B98" s="76">
        <f t="shared" si="37"/>
        <v>1</v>
      </c>
      <c r="C98" s="76">
        <f t="shared" si="35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6"/>
        <v>40179</v>
      </c>
      <c r="B99" s="76">
        <f t="shared" si="37"/>
        <v>1</v>
      </c>
      <c r="C99" s="76">
        <f t="shared" si="35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6"/>
        <v>40179</v>
      </c>
      <c r="B100" s="76">
        <f t="shared" si="37"/>
        <v>1</v>
      </c>
      <c r="C100" s="76">
        <f t="shared" si="35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6"/>
        <v>40179</v>
      </c>
      <c r="B101" s="76">
        <f t="shared" si="37"/>
        <v>1</v>
      </c>
      <c r="C101" s="76">
        <f t="shared" si="35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6"/>
        <v>40179</v>
      </c>
      <c r="B102" s="76">
        <f t="shared" si="37"/>
        <v>1</v>
      </c>
      <c r="C102" s="76">
        <f t="shared" si="35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1.0295852202478231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38">1+A112</f>
        <v>2</v>
      </c>
      <c r="B113" s="96">
        <v>1</v>
      </c>
      <c r="C113" s="96">
        <v>0.97</v>
      </c>
      <c r="D113" s="97">
        <v>0.98496688058813564</v>
      </c>
      <c r="E113" s="97">
        <v>1</v>
      </c>
      <c r="F113" s="96">
        <f t="shared" ref="F113:F123" si="39">CHOOSE($D$108,B113,C113,D113,E113)</f>
        <v>1</v>
      </c>
      <c r="N113" s="2"/>
      <c r="O113" s="76"/>
      <c r="P113" s="76"/>
    </row>
    <row r="114" spans="1:16" x14ac:dyDescent="0.2">
      <c r="A114" s="98">
        <f t="shared" si="38"/>
        <v>3</v>
      </c>
      <c r="B114" s="96">
        <v>1</v>
      </c>
      <c r="C114" s="96">
        <v>1.03</v>
      </c>
      <c r="D114" s="97">
        <v>0.98678537695458468</v>
      </c>
      <c r="E114" s="97">
        <v>1</v>
      </c>
      <c r="F114" s="96">
        <f t="shared" si="39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38"/>
        <v>4</v>
      </c>
      <c r="B115" s="96">
        <v>1</v>
      </c>
      <c r="C115" s="96">
        <v>1.01</v>
      </c>
      <c r="D115" s="97">
        <v>0.98147387271836672</v>
      </c>
      <c r="E115" s="97">
        <v>1</v>
      </c>
      <c r="F115" s="96">
        <f t="shared" si="39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38"/>
        <v>5</v>
      </c>
      <c r="B116" s="96">
        <v>1</v>
      </c>
      <c r="C116" s="96">
        <v>1.02</v>
      </c>
      <c r="D116" s="97">
        <v>1.005539820370819</v>
      </c>
      <c r="E116" s="97">
        <v>1</v>
      </c>
      <c r="F116" s="96">
        <f t="shared" si="39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38"/>
        <v>6</v>
      </c>
      <c r="B117" s="96">
        <v>1</v>
      </c>
      <c r="C117" s="96">
        <v>1.02</v>
      </c>
      <c r="D117" s="97">
        <v>0.97407352177961348</v>
      </c>
      <c r="E117" s="97">
        <v>1</v>
      </c>
      <c r="F117" s="96">
        <f t="shared" si="39"/>
        <v>1</v>
      </c>
      <c r="N117" s="2"/>
      <c r="O117" s="76"/>
      <c r="P117" s="76"/>
    </row>
    <row r="118" spans="1:16" x14ac:dyDescent="0.2">
      <c r="A118" s="98">
        <f t="shared" si="38"/>
        <v>7</v>
      </c>
      <c r="B118" s="96">
        <v>1</v>
      </c>
      <c r="C118" s="96">
        <v>0.98</v>
      </c>
      <c r="D118" s="97">
        <v>1.0098212809989611</v>
      </c>
      <c r="E118" s="97">
        <v>1</v>
      </c>
      <c r="F118" s="96">
        <f t="shared" si="39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38"/>
        <v>8</v>
      </c>
      <c r="B119" s="96">
        <v>1</v>
      </c>
      <c r="C119" s="96">
        <v>1.02</v>
      </c>
      <c r="D119" s="97">
        <v>1.0148263466406608</v>
      </c>
      <c r="E119" s="97">
        <v>1</v>
      </c>
      <c r="F119" s="96">
        <f t="shared" si="39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38"/>
        <v>9</v>
      </c>
      <c r="B120" s="96">
        <v>1</v>
      </c>
      <c r="C120" s="96">
        <v>0.99</v>
      </c>
      <c r="D120" s="97">
        <v>0.99029093971683724</v>
      </c>
      <c r="E120" s="97">
        <v>1</v>
      </c>
      <c r="F120" s="96">
        <f t="shared" si="39"/>
        <v>1</v>
      </c>
      <c r="N120" s="2"/>
      <c r="O120" s="76"/>
      <c r="P120" s="76"/>
    </row>
    <row r="121" spans="1:16" x14ac:dyDescent="0.2">
      <c r="A121" s="98">
        <f t="shared" si="38"/>
        <v>10</v>
      </c>
      <c r="B121" s="96">
        <v>1</v>
      </c>
      <c r="C121" s="96">
        <v>1.01</v>
      </c>
      <c r="D121" s="97">
        <v>1.0458139221025458</v>
      </c>
      <c r="E121" s="97">
        <v>1</v>
      </c>
      <c r="F121" s="96">
        <f t="shared" si="39"/>
        <v>1</v>
      </c>
      <c r="N121" s="2"/>
      <c r="O121" s="76"/>
      <c r="P121" s="76"/>
    </row>
    <row r="122" spans="1:16" x14ac:dyDescent="0.2">
      <c r="A122" s="98">
        <f t="shared" si="38"/>
        <v>11</v>
      </c>
      <c r="B122" s="96">
        <v>1</v>
      </c>
      <c r="C122" s="96">
        <v>0.98</v>
      </c>
      <c r="D122" s="97">
        <v>0.98719092074475234</v>
      </c>
      <c r="E122" s="97">
        <v>1</v>
      </c>
      <c r="F122" s="96">
        <f t="shared" si="39"/>
        <v>1</v>
      </c>
      <c r="N122" s="2"/>
      <c r="O122" s="76"/>
      <c r="P122" s="76"/>
    </row>
    <row r="123" spans="1:16" x14ac:dyDescent="0.2">
      <c r="A123" s="98">
        <f t="shared" si="38"/>
        <v>12</v>
      </c>
      <c r="B123" s="96">
        <v>1</v>
      </c>
      <c r="C123" s="96">
        <v>0.95</v>
      </c>
      <c r="D123" s="97">
        <v>0.98963189713690081</v>
      </c>
      <c r="E123" s="97">
        <v>1</v>
      </c>
      <c r="F123" s="96">
        <f t="shared" si="39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12.000000000000002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Allied Pacific (APC Medicare)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3119205.6279926137</v>
      </c>
      <c r="B5" s="74">
        <f>Data!$BN8</f>
        <v>0.18314647642119239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2812169.1209017569</v>
      </c>
      <c r="B6" s="74">
        <f>Data!$BN9</f>
        <v>0.64704436033936741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4043548.1786616375</v>
      </c>
      <c r="B7" s="74">
        <f>Data!$BN10</f>
        <v>0.86030263182158717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4990960.5424498338</v>
      </c>
      <c r="B8" s="74">
        <f>Data!$BN11</f>
        <v>0.92422314317391896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5424929.9932377823</v>
      </c>
      <c r="B9" s="74">
        <f>Data!$BN12</f>
        <v>0.9461765251161306</v>
      </c>
      <c r="D9" s="52">
        <f>Data!$AV12</f>
        <v>45231</v>
      </c>
      <c r="E9" s="30"/>
      <c r="F9" s="53">
        <f t="shared" ref="F9:F22" si="3">A9</f>
        <v>5424929.9932377823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5904776.6409355681</v>
      </c>
      <c r="B10" s="74">
        <f>Data!$BN13</f>
        <v>0.95320743226422966</v>
      </c>
      <c r="D10" s="52">
        <f>Data!$AV13</f>
        <v>45200</v>
      </c>
      <c r="E10" s="30"/>
      <c r="F10" s="53">
        <f t="shared" si="3"/>
        <v>5904776.6409355681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5090385.772621558</v>
      </c>
      <c r="B11" s="74">
        <f>Data!$BN14</f>
        <v>0.95966901885398148</v>
      </c>
      <c r="D11" s="52">
        <f>Data!$AV14</f>
        <v>45170</v>
      </c>
      <c r="E11" s="30"/>
      <c r="F11" s="53">
        <f t="shared" si="3"/>
        <v>5090385.772621558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5248822.1487698574</v>
      </c>
      <c r="B12" s="74">
        <f>Data!$BN15</f>
        <v>0.96607216938916862</v>
      </c>
      <c r="D12" s="52">
        <f>Data!$AV15</f>
        <v>45139</v>
      </c>
      <c r="E12" s="30"/>
      <c r="F12" s="53">
        <f t="shared" si="3"/>
        <v>5248822.1487698574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4798564.1460945504</v>
      </c>
      <c r="B13" s="74">
        <f>Data!$BN16</f>
        <v>0.9713465065989646</v>
      </c>
      <c r="D13" s="52">
        <f>Data!$AV16</f>
        <v>45108</v>
      </c>
      <c r="E13" s="30"/>
      <c r="F13" s="53">
        <f t="shared" si="3"/>
        <v>4798564.1460945504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4923139.9858958088</v>
      </c>
      <c r="B14" s="74">
        <f>Data!$BN17</f>
        <v>0.97585716712579107</v>
      </c>
      <c r="D14" s="52">
        <f>Data!$AV17</f>
        <v>45078</v>
      </c>
      <c r="E14" s="30"/>
      <c r="F14" s="53">
        <f t="shared" si="3"/>
        <v>4923139.9858958088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4806629.2906606048</v>
      </c>
      <c r="B15" s="74">
        <f>Data!$BN18</f>
        <v>0.97973430552468965</v>
      </c>
      <c r="D15" s="52">
        <f>Data!$AV18</f>
        <v>45047</v>
      </c>
      <c r="E15" s="30"/>
      <c r="F15" s="53">
        <f t="shared" si="3"/>
        <v>4806629.2906606048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4539169.1160597214</v>
      </c>
      <c r="B16" s="74">
        <f>Data!$BN19</f>
        <v>0.98294217199668188</v>
      </c>
      <c r="D16" s="52">
        <f>Data!$AV19</f>
        <v>45017</v>
      </c>
      <c r="E16" s="30"/>
      <c r="F16" s="53">
        <f t="shared" si="3"/>
        <v>4539169.1160597214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5057934.6507786037</v>
      </c>
      <c r="B17" s="74">
        <f>Data!$BN20</f>
        <v>0.98549633677704296</v>
      </c>
      <c r="D17" s="52">
        <f>Data!$AV20</f>
        <v>44986</v>
      </c>
      <c r="E17" s="30"/>
      <c r="F17" s="53">
        <f t="shared" si="3"/>
        <v>5057934.6507786037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4416080.295621125</v>
      </c>
      <c r="B18" s="74">
        <f>Data!$BN21</f>
        <v>0.98786433623630543</v>
      </c>
      <c r="D18" s="52">
        <f>Data!$AV21</f>
        <v>44958</v>
      </c>
      <c r="E18" s="30"/>
      <c r="F18" s="53">
        <f t="shared" si="3"/>
        <v>4416080.295621125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4355041.134541112</v>
      </c>
      <c r="B19" s="74">
        <f>Data!$BN22</f>
        <v>0.98992918937245789</v>
      </c>
      <c r="D19" s="52">
        <f>Data!$AV22</f>
        <v>44927</v>
      </c>
      <c r="E19" s="30"/>
      <c r="F19" s="53">
        <f t="shared" si="3"/>
        <v>4355041.134541112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4430972.5732161999</v>
      </c>
      <c r="B20" s="74">
        <f>Data!$BN23</f>
        <v>0.9912511434960084</v>
      </c>
      <c r="D20" s="52">
        <f>Data!$AV23</f>
        <v>44896</v>
      </c>
      <c r="E20" s="30"/>
      <c r="F20" s="53">
        <f t="shared" si="3"/>
        <v>4430972.5732161999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4411169.1811832916</v>
      </c>
      <c r="B21" s="74">
        <f>Data!$BN24</f>
        <v>0.99189101806934477</v>
      </c>
      <c r="D21" s="52">
        <f>Data!$AV24</f>
        <v>44866</v>
      </c>
      <c r="E21" s="30"/>
      <c r="F21" s="53">
        <f t="shared" si="3"/>
        <v>4411169.1811832916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4688230.1524083707</v>
      </c>
      <c r="B22" s="74">
        <f>Data!$BN25</f>
        <v>0.99270528721999796</v>
      </c>
      <c r="D22" s="52">
        <f>Data!$AV25</f>
        <v>44835</v>
      </c>
      <c r="E22" s="30"/>
      <c r="F22" s="53">
        <f t="shared" si="3"/>
        <v>4688230.1524083707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4499385.4718065085</v>
      </c>
      <c r="B23" s="74">
        <f>Data!$BN26</f>
        <v>0.9936981234472646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6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0.18314647642119239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4467229</v>
      </c>
      <c r="I40" s="353">
        <v>0</v>
      </c>
      <c r="J40" s="30"/>
      <c r="K40" s="53">
        <f>Data!$BO8</f>
        <v>3119205.6279926137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0.64704436033936741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4044505</v>
      </c>
      <c r="I41" s="353">
        <v>0</v>
      </c>
      <c r="J41" s="30"/>
      <c r="K41" s="53">
        <f>Data!$BO9</f>
        <v>2812169.1209017569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0.86030263182158717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4474389</v>
      </c>
      <c r="I42" s="353">
        <v>0</v>
      </c>
      <c r="J42" s="30"/>
      <c r="K42" s="53">
        <f>Data!$BO10</f>
        <v>4043548.1786616375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0.92422314317391896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4893330</v>
      </c>
      <c r="I43" s="353">
        <v>0</v>
      </c>
      <c r="J43" s="30"/>
      <c r="K43" s="53">
        <f>Data!$BO11</f>
        <v>4990960.5424498338</v>
      </c>
      <c r="L43" s="87">
        <f t="shared" si="22"/>
        <v>0.25</v>
      </c>
      <c r="M43" s="30"/>
      <c r="N43" s="53">
        <f t="shared" ca="1" si="23"/>
        <v>1247740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0.9461765251161306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5117900</v>
      </c>
      <c r="I44" s="353">
        <v>0.5</v>
      </c>
      <c r="J44" s="30"/>
      <c r="K44" s="53">
        <f>Data!$BO12</f>
        <v>5424929.9932377823</v>
      </c>
      <c r="L44" s="87">
        <f t="shared" si="22"/>
        <v>0.5</v>
      </c>
      <c r="M44" s="30"/>
      <c r="N44" s="53">
        <f t="shared" ca="1" si="23"/>
        <v>5271415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0.95320743226422966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5319595</v>
      </c>
      <c r="I45" s="353">
        <v>0.5</v>
      </c>
      <c r="J45" s="30"/>
      <c r="K45" s="53">
        <f>Data!$BO13</f>
        <v>5904776.6409355681</v>
      </c>
      <c r="L45" s="87">
        <f t="shared" si="22"/>
        <v>0.5</v>
      </c>
      <c r="M45" s="30"/>
      <c r="N45" s="53">
        <f t="shared" ca="1" si="23"/>
        <v>5612186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0.95966901885398148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4997895</v>
      </c>
      <c r="I46" s="353">
        <v>0.5</v>
      </c>
      <c r="J46" s="30"/>
      <c r="K46" s="53">
        <f>Data!$BO14</f>
        <v>5090385.772621558</v>
      </c>
      <c r="L46" s="87">
        <f t="shared" si="22"/>
        <v>0.5</v>
      </c>
      <c r="M46" s="30"/>
      <c r="N46" s="53">
        <f t="shared" ca="1" si="23"/>
        <v>5044140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0.96607216938916862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5426105</v>
      </c>
      <c r="I47" s="353">
        <v>0.5</v>
      </c>
      <c r="J47" s="30"/>
      <c r="K47" s="53">
        <f>Data!$BO15</f>
        <v>5248822.1487698574</v>
      </c>
      <c r="L47" s="87">
        <f t="shared" si="22"/>
        <v>0.5</v>
      </c>
      <c r="M47" s="30"/>
      <c r="N47" s="53">
        <f t="shared" ca="1" si="23"/>
        <v>5337464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0.9713465065989646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4871865</v>
      </c>
      <c r="I48" s="353">
        <v>0.5</v>
      </c>
      <c r="J48" s="30"/>
      <c r="K48" s="53">
        <f>Data!$BO16</f>
        <v>4798564.1460945504</v>
      </c>
      <c r="L48" s="87">
        <f t="shared" si="22"/>
        <v>0.5</v>
      </c>
      <c r="M48" s="30"/>
      <c r="N48" s="53">
        <f t="shared" ca="1" si="23"/>
        <v>4835215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0.97585716712579107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5063228</v>
      </c>
      <c r="I49" s="353">
        <v>0.5</v>
      </c>
      <c r="J49" s="30"/>
      <c r="K49" s="53">
        <f>Data!$BO17</f>
        <v>4923139.9858958088</v>
      </c>
      <c r="L49" s="87">
        <f t="shared" si="22"/>
        <v>0.5</v>
      </c>
      <c r="M49" s="30"/>
      <c r="N49" s="53">
        <f t="shared" ca="1" si="23"/>
        <v>4993184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0.18314647642119239</v>
      </c>
      <c r="E58" s="67">
        <f ca="1">PMPM!$T31</f>
        <v>0.12788050937169324</v>
      </c>
      <c r="F58" s="89">
        <f t="shared" ref="F58:F69" ca="1" si="24">E58-D58</f>
        <v>-5.5265967049499154E-2</v>
      </c>
      <c r="G58" s="37" t="str">
        <f ca="1">PMPM!$V31</f>
        <v>ok</v>
      </c>
      <c r="H58" s="66">
        <f ca="1">PMPM!$W31</f>
        <v>121.90486185425077</v>
      </c>
      <c r="I58" s="43">
        <f ca="1">PMPM!$X31</f>
        <v>3895957.4800000004</v>
      </c>
      <c r="J58" s="43">
        <f ca="1">PMPM!$Y31</f>
        <v>4467229</v>
      </c>
      <c r="K58" s="43">
        <f>PMPM!$Z31</f>
        <v>3877540.2099999972</v>
      </c>
      <c r="M58" s="43">
        <f t="shared" ref="M58:M69" ca="1" si="25">J58-K58</f>
        <v>589688.79000000283</v>
      </c>
      <c r="N58" s="156">
        <f ca="1">SUM(L33:M$58)</f>
        <v>589692.04000000283</v>
      </c>
      <c r="O58" s="67">
        <f ca="1">N58/SUM(J33:J$58)</f>
        <v>0.13200398725921658</v>
      </c>
    </row>
    <row r="59" spans="2:21" x14ac:dyDescent="0.2">
      <c r="D59" s="88">
        <f>PMPM!$S32</f>
        <v>0.64704436033936741</v>
      </c>
      <c r="E59" s="67">
        <f ca="1">PMPM!$T32</f>
        <v>0.47144062616995525</v>
      </c>
      <c r="F59" s="89">
        <f t="shared" ca="1" si="24"/>
        <v>-0.17560373416941216</v>
      </c>
      <c r="G59" s="37" t="str">
        <f ca="1">PMPM!$V32</f>
        <v>ok</v>
      </c>
      <c r="H59" s="66">
        <f ca="1">PMPM!$W32</f>
        <v>63.312545155483875</v>
      </c>
      <c r="I59" s="43">
        <f ca="1">PMPM!$X32</f>
        <v>2040056.8300000015</v>
      </c>
      <c r="J59" s="43">
        <f ca="1">PMPM!$Y32</f>
        <v>3859655</v>
      </c>
      <c r="K59" s="43">
        <f>PMPM!$Z32</f>
        <v>3323663.6499999929</v>
      </c>
      <c r="M59" s="43">
        <f t="shared" ca="1" si="25"/>
        <v>535991.35000000708</v>
      </c>
      <c r="N59" s="156">
        <f ca="1">SUM(L33:M$59)</f>
        <v>1125683.3900000099</v>
      </c>
      <c r="O59" s="67">
        <f ca="1">N59/SUM(J33:J$59)</f>
        <v>0.13518663043702903</v>
      </c>
    </row>
    <row r="60" spans="2:21" x14ac:dyDescent="0.2">
      <c r="D60" s="88">
        <f>PMPM!$S33</f>
        <v>0.86030263182158717</v>
      </c>
      <c r="E60" s="67">
        <f ca="1">PMPM!$T33</f>
        <v>0.84235214721786977</v>
      </c>
      <c r="F60" s="89">
        <f t="shared" ca="1" si="24"/>
        <v>-1.7950484603717398E-2</v>
      </c>
      <c r="G60" s="37" t="str">
        <f ca="1">PMPM!$V33</f>
        <v>ok</v>
      </c>
      <c r="H60" s="66">
        <f ca="1">PMPM!$W33</f>
        <v>20.022785176072823</v>
      </c>
      <c r="I60" s="43">
        <f ca="1">PMPM!$X33</f>
        <v>651040.86000000779</v>
      </c>
      <c r="J60" s="43">
        <f ca="1">PMPM!$Y33</f>
        <v>4129716</v>
      </c>
      <c r="K60" s="43">
        <f>PMPM!$Z33</f>
        <v>5395969.1799999913</v>
      </c>
      <c r="M60" s="43">
        <f t="shared" ca="1" si="25"/>
        <v>-1266253.1799999913</v>
      </c>
      <c r="N60" s="156">
        <f ca="1">SUM(L33:M$60)</f>
        <v>-140569.78999998141</v>
      </c>
      <c r="O60" s="67">
        <f ca="1">N60/SUM(J33:J$60)</f>
        <v>-1.1284763900260217E-2</v>
      </c>
    </row>
    <row r="61" spans="2:21" x14ac:dyDescent="0.2">
      <c r="D61" s="88">
        <f>PMPM!$S34</f>
        <v>0.92422314317391896</v>
      </c>
      <c r="E61" s="67">
        <f ca="1">PMPM!$T34</f>
        <v>0.92422305844505548</v>
      </c>
      <c r="F61" s="89">
        <f t="shared" ca="1" si="24"/>
        <v>-8.4728863480876271E-8</v>
      </c>
      <c r="G61" s="37" t="str">
        <f ca="1">PMPM!$V34</f>
        <v>ok</v>
      </c>
      <c r="H61" s="66">
        <f ca="1">PMPM!$W34</f>
        <v>10.04754815228095</v>
      </c>
      <c r="I61" s="43">
        <f ca="1">PMPM!$X34</f>
        <v>378199.76000000723</v>
      </c>
      <c r="J61" s="43">
        <f ca="1">PMPM!$Y34</f>
        <v>4990961</v>
      </c>
      <c r="K61" s="43">
        <f>PMPM!$Z34</f>
        <v>5333947.7200000016</v>
      </c>
      <c r="M61" s="43">
        <f t="shared" ca="1" si="25"/>
        <v>-342986.7200000016</v>
      </c>
      <c r="N61" s="156">
        <f ca="1">SUM(L33:M$61)</f>
        <v>-483556.50999998301</v>
      </c>
      <c r="O61" s="67">
        <f ca="1">N61/SUM(J33:J$61)</f>
        <v>-2.7714848510916972E-2</v>
      </c>
    </row>
    <row r="62" spans="2:21" x14ac:dyDescent="0.2">
      <c r="D62" s="88">
        <f>PMPM!$S35</f>
        <v>0.9461765251161306</v>
      </c>
      <c r="E62" s="67">
        <f ca="1">PMPM!$T35</f>
        <v>0.94617652393671403</v>
      </c>
      <c r="F62" s="89">
        <f t="shared" ca="1" si="24"/>
        <v>-1.1794165644118948E-9</v>
      </c>
      <c r="G62" s="37" t="str">
        <f ca="1">PMPM!$V35</f>
        <v>ok</v>
      </c>
      <c r="H62" s="66">
        <f ca="1">PMPM!$W35</f>
        <v>7.7266099497221941</v>
      </c>
      <c r="I62" s="43">
        <f ca="1">PMPM!$X35</f>
        <v>291988.59000000171</v>
      </c>
      <c r="J62" s="43">
        <f ca="1">PMPM!$Y35</f>
        <v>5424930</v>
      </c>
      <c r="K62" s="43">
        <f>PMPM!$Z35</f>
        <v>5226868.5000000019</v>
      </c>
      <c r="M62" s="43">
        <f t="shared" ca="1" si="25"/>
        <v>198061.49999999814</v>
      </c>
      <c r="N62" s="156">
        <f ca="1">SUM(L33:M$62)</f>
        <v>-285495.00999998488</v>
      </c>
      <c r="O62" s="67">
        <f ca="1">N62/SUM(J33:J$62)</f>
        <v>-1.2482025241587586E-2</v>
      </c>
    </row>
    <row r="63" spans="2:21" x14ac:dyDescent="0.2">
      <c r="D63" s="88">
        <f>PMPM!$S36</f>
        <v>0.95320743226422966</v>
      </c>
      <c r="E63" s="67">
        <f ca="1">PMPM!$T36</f>
        <v>0.95320737430050206</v>
      </c>
      <c r="F63" s="89">
        <f t="shared" ca="1" si="24"/>
        <v>-5.7963727595478076E-8</v>
      </c>
      <c r="G63" s="37" t="str">
        <f ca="1">PMPM!$V36</f>
        <v>ok</v>
      </c>
      <c r="H63" s="66">
        <f ca="1">PMPM!$W36</f>
        <v>6.9776256376585737</v>
      </c>
      <c r="I63" s="43">
        <f ca="1">PMPM!$X36</f>
        <v>276300.02000000421</v>
      </c>
      <c r="J63" s="43">
        <f ca="1">PMPM!$Y36</f>
        <v>5904777</v>
      </c>
      <c r="K63" s="43">
        <f>PMPM!$Z36</f>
        <v>5645364.459999986</v>
      </c>
      <c r="M63" s="43">
        <f t="shared" ca="1" si="25"/>
        <v>259412.54000001401</v>
      </c>
      <c r="N63" s="156">
        <f ca="1">SUM(L33:M$63)</f>
        <v>-26082.469999970868</v>
      </c>
      <c r="O63" s="67">
        <f ca="1">N63/SUM(J33:J$63)</f>
        <v>-9.0635671183139654E-4</v>
      </c>
    </row>
    <row r="64" spans="2:21" x14ac:dyDescent="0.2">
      <c r="D64" s="88">
        <f>PMPM!$S37</f>
        <v>0.95966901885398148</v>
      </c>
      <c r="E64" s="67">
        <f ca="1">PMPM!$T37</f>
        <v>0.95966897598728207</v>
      </c>
      <c r="F64" s="89">
        <f t="shared" ca="1" si="24"/>
        <v>-4.2866699412336118E-8</v>
      </c>
      <c r="G64" s="37" t="str">
        <f ca="1">PMPM!$V37</f>
        <v>ok</v>
      </c>
      <c r="H64" s="66">
        <f ca="1">PMPM!$W37</f>
        <v>5.2147750768371877</v>
      </c>
      <c r="I64" s="43">
        <f ca="1">PMPM!$X37</f>
        <v>205300.48000000324</v>
      </c>
      <c r="J64" s="43">
        <f ca="1">PMPM!$Y37</f>
        <v>5090386</v>
      </c>
      <c r="K64" s="43">
        <f>PMPM!$Z37</f>
        <v>5026007.420000013</v>
      </c>
      <c r="M64" s="43">
        <f t="shared" ca="1" si="25"/>
        <v>64378.579999987036</v>
      </c>
      <c r="N64" s="156">
        <f ca="1">SUM(L33:M$64)</f>
        <v>38296.110000016168</v>
      </c>
      <c r="O64" s="67">
        <f ca="1">N64/SUM(J33:J$64)</f>
        <v>1.1307576840136658E-3</v>
      </c>
    </row>
    <row r="65" spans="1:15" x14ac:dyDescent="0.2">
      <c r="D65" s="88">
        <f>PMPM!$S38</f>
        <v>0.96607216938916862</v>
      </c>
      <c r="E65" s="67">
        <f ca="1">PMPM!$T38</f>
        <v>0.96607219677101142</v>
      </c>
      <c r="F65" s="89">
        <f t="shared" ca="1" si="24"/>
        <v>2.7381842793161582E-8</v>
      </c>
      <c r="G65" s="37" t="str">
        <f ca="1">PMPM!$V38</f>
        <v>ok</v>
      </c>
      <c r="H65" s="66">
        <f ca="1">PMPM!$W38</f>
        <v>4.5461298886956509</v>
      </c>
      <c r="I65" s="43">
        <f ca="1">PMPM!$X38</f>
        <v>178080.99999998603</v>
      </c>
      <c r="J65" s="43">
        <f ca="1">PMPM!$Y38</f>
        <v>5248822</v>
      </c>
      <c r="K65" s="43">
        <f>PMPM!$Z38</f>
        <v>4711315.7599999821</v>
      </c>
      <c r="M65" s="43">
        <f t="shared" ca="1" si="25"/>
        <v>537506.24000001792</v>
      </c>
      <c r="N65" s="156">
        <f ca="1">SUM(L33:M$65)</f>
        <v>575802.35000003409</v>
      </c>
      <c r="O65" s="67">
        <f ca="1">N65/SUM(J33:J$65)</f>
        <v>1.4720199999612289E-2</v>
      </c>
    </row>
    <row r="66" spans="1:15" x14ac:dyDescent="0.2">
      <c r="D66" s="88">
        <f>PMPM!$S39</f>
        <v>0.9713465065989646</v>
      </c>
      <c r="E66" s="67">
        <f ca="1">PMPM!$T39</f>
        <v>0.97134653617206823</v>
      </c>
      <c r="F66" s="89">
        <f t="shared" ca="1" si="24"/>
        <v>2.9573103632607456E-8</v>
      </c>
      <c r="G66" s="37" t="str">
        <f ca="1">PMPM!$V39</f>
        <v>ok</v>
      </c>
      <c r="H66" s="66">
        <f ca="1">PMPM!$W39</f>
        <v>3.5252539548243815</v>
      </c>
      <c r="I66" s="43">
        <f ca="1">PMPM!$X39</f>
        <v>137495.48000001535</v>
      </c>
      <c r="J66" s="43">
        <f ca="1">PMPM!$Y39</f>
        <v>4798564</v>
      </c>
      <c r="K66" s="43">
        <f>PMPM!$Z39</f>
        <v>4525300.0899999943</v>
      </c>
      <c r="M66" s="43">
        <f t="shared" ca="1" si="25"/>
        <v>273263.91000000574</v>
      </c>
      <c r="N66" s="156">
        <f ca="1">SUM(L33:M$66)</f>
        <v>849066.26000003982</v>
      </c>
      <c r="O66" s="67">
        <f ca="1">N66/SUM(J33:J$66)</f>
        <v>1.9334293217085533E-2</v>
      </c>
    </row>
    <row r="67" spans="1:15" x14ac:dyDescent="0.2">
      <c r="D67" s="88">
        <f>PMPM!$S40</f>
        <v>0.97585716712579107</v>
      </c>
      <c r="E67" s="67">
        <f ca="1">PMPM!$T40</f>
        <v>0.97585716433008018</v>
      </c>
      <c r="F67" s="89">
        <f t="shared" ca="1" si="24"/>
        <v>-2.7957108850173995E-9</v>
      </c>
      <c r="G67" s="37" t="str">
        <f ca="1">PMPM!$V40</f>
        <v>ok</v>
      </c>
      <c r="H67" s="66">
        <f ca="1">PMPM!$W40</f>
        <v>3.0547832121105376</v>
      </c>
      <c r="I67" s="43">
        <f ca="1">PMPM!$X40</f>
        <v>118858.5600000089</v>
      </c>
      <c r="J67" s="43">
        <f ca="1">PMPM!$Y40</f>
        <v>4923140</v>
      </c>
      <c r="K67" s="43">
        <f>PMPM!$Z40</f>
        <v>4803201.339999998</v>
      </c>
      <c r="M67" s="43">
        <f t="shared" ca="1" si="25"/>
        <v>119938.66000000201</v>
      </c>
      <c r="N67" s="156">
        <f ca="1">SUM(L33:M$67)</f>
        <v>969004.92000004184</v>
      </c>
      <c r="O67" s="67">
        <f ca="1">N67/SUM(J33:J$67)</f>
        <v>1.9841134948109077E-2</v>
      </c>
    </row>
    <row r="68" spans="1:15" x14ac:dyDescent="0.2">
      <c r="D68" s="88">
        <f>PMPM!$S41</f>
        <v>0.97973430552468965</v>
      </c>
      <c r="E68" s="67">
        <f ca="1">PMPM!$T41</f>
        <v>0.97973436476998732</v>
      </c>
      <c r="F68" s="89">
        <f t="shared" ca="1" si="24"/>
        <v>5.9245297667764873E-8</v>
      </c>
      <c r="G68" s="37" t="str">
        <f ca="1">PMPM!$V41</f>
        <v>ok</v>
      </c>
      <c r="H68" s="66">
        <f ca="1">PMPM!$W41</f>
        <v>2.5197731388069893</v>
      </c>
      <c r="I68" s="43">
        <f ca="1">PMPM!$X41</f>
        <v>97409.390000000596</v>
      </c>
      <c r="J68" s="43">
        <f ca="1">PMPM!$Y41</f>
        <v>4806629</v>
      </c>
      <c r="K68" s="43">
        <f>PMPM!$Z41</f>
        <v>4653392.6099999966</v>
      </c>
      <c r="M68" s="43">
        <f t="shared" ca="1" si="25"/>
        <v>153236.39000000339</v>
      </c>
      <c r="N68" s="156">
        <f ca="1">SUM(L33:M$68)</f>
        <v>1122241.3100000452</v>
      </c>
      <c r="O68" s="67">
        <f ca="1">N68/SUM(J33:J$68)</f>
        <v>2.091984911345374E-2</v>
      </c>
    </row>
    <row r="69" spans="1:15" x14ac:dyDescent="0.2">
      <c r="D69" s="88">
        <f>PMPM!$S42</f>
        <v>0.98294217199668188</v>
      </c>
      <c r="E69" s="67">
        <f ca="1">PMPM!$T42</f>
        <v>0.98294219712903419</v>
      </c>
      <c r="F69" s="89">
        <f t="shared" ca="1" si="24"/>
        <v>2.5132352310386352E-8</v>
      </c>
      <c r="G69" s="37" t="str">
        <f ca="1">PMPM!$V42</f>
        <v>ok</v>
      </c>
      <c r="H69" s="66">
        <f ca="1">PMPM!$W42</f>
        <v>2.0231572208721764</v>
      </c>
      <c r="I69" s="43">
        <f ca="1">PMPM!$X42</f>
        <v>77428.249999999069</v>
      </c>
      <c r="J69" s="43">
        <f ca="1">PMPM!$Y42</f>
        <v>4539169</v>
      </c>
      <c r="K69" s="43">
        <f>PMPM!$Z42</f>
        <v>4154075.8699999978</v>
      </c>
      <c r="M69" s="43">
        <f t="shared" ca="1" si="25"/>
        <v>385093.13000000222</v>
      </c>
      <c r="N69" s="156">
        <f ca="1">SUM(L33:M$69)</f>
        <v>1507334.4400000474</v>
      </c>
      <c r="O69" s="67">
        <f ca="1">N69/SUM(J33:J$69)</f>
        <v>2.5906348995251707E-2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1247740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5271415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5612186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5044140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5337464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4835215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4993184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4806629.2906606048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4539169.1160597214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5057934.6507786037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4416080.295621125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4355041.134541112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4430972.5732161999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4411169.1811832916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4688230.1524083707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Allied Pacific (APC Medicare)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8797051.5894060358</v>
      </c>
      <c r="D10" s="62">
        <f t="shared" ref="D10:D27" ca="1" si="0">SUM(B10:C10)</f>
        <v>8797051.5894060358</v>
      </c>
      <c r="E10" s="330">
        <f>+Data!BN8</f>
        <v>0.18314647642119239</v>
      </c>
      <c r="F10" s="342">
        <f>Final!B11</f>
        <v>31959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3306268.6899999976</v>
      </c>
      <c r="C11" s="62">
        <f ca="1">Final!C118</f>
        <v>4901094.1094060354</v>
      </c>
      <c r="D11" s="62">
        <f t="shared" ca="1" si="0"/>
        <v>8207362.799406033</v>
      </c>
      <c r="E11" s="332">
        <f>+Data!BN9</f>
        <v>0.64704436033936741</v>
      </c>
      <c r="F11" s="345">
        <f>Final!B12</f>
        <v>32222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 t="str">
        <f>IF(E11&gt;L$5,(1/1+L$4)^(Backlog!S11/12)*D11,"")</f>
        <v/>
      </c>
      <c r="S11" s="10">
        <f t="shared" ref="S11:S27" si="9">S10+1</f>
        <v>1</v>
      </c>
      <c r="U11" s="121">
        <f>Backlog!A11</f>
        <v>45351</v>
      </c>
      <c r="V11" s="158">
        <f>IF(OR(Backlog!L11="",Backlog!G11=0),0,Backlog!L11)</f>
        <v>0</v>
      </c>
      <c r="W11" s="335">
        <f t="shared" si="1"/>
        <v>0</v>
      </c>
      <c r="X11" s="98">
        <f t="shared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4810334.1699999925</v>
      </c>
      <c r="C12" s="62">
        <f ca="1">Final!C119</f>
        <v>2861037.2794060339</v>
      </c>
      <c r="D12" s="62">
        <f t="shared" ca="1" si="0"/>
        <v>7671371.4494060259</v>
      </c>
      <c r="E12" s="332">
        <f>+Data!BN10</f>
        <v>0.86030263182158717</v>
      </c>
      <c r="F12" s="345">
        <f>Final!B13</f>
        <v>32515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>
        <f ca="1">IF(E12&gt;L$5,(1/1+L$4)^(Backlog!S12/12)*D12,"")</f>
        <v>7734007.0162973749</v>
      </c>
      <c r="S12" s="10">
        <f t="shared" si="9"/>
        <v>2</v>
      </c>
      <c r="U12" s="121">
        <f>Backlog!A12</f>
        <v>45322</v>
      </c>
      <c r="V12" s="158">
        <f ca="1">IF(OR(Backlog!L12="",Backlog!G12=0),0,Backlog!L12)</f>
        <v>0</v>
      </c>
      <c r="W12" s="335">
        <f t="shared" ca="1" si="1"/>
        <v>0</v>
      </c>
      <c r="X12" s="98">
        <f t="shared" ca="1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ca="1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6727628.2099999897</v>
      </c>
      <c r="C13" s="62">
        <f ca="1">Final!C120</f>
        <v>2209996.4194060261</v>
      </c>
      <c r="D13" s="62">
        <f t="shared" ca="1" si="0"/>
        <v>8937624.6294060163</v>
      </c>
      <c r="E13" s="332">
        <f>+Data!BN11</f>
        <v>0.92422314317391896</v>
      </c>
      <c r="F13" s="345">
        <f>Final!B14</f>
        <v>37641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>
        <f ca="1">IF(E13&gt;L$5,(1/1+L$4)^(Backlog!S13/12)*D13,"")</f>
        <v>9047309.2540968433</v>
      </c>
      <c r="S13" s="10">
        <f t="shared" si="9"/>
        <v>3</v>
      </c>
      <c r="U13" s="121">
        <f>Backlog!A13</f>
        <v>45291</v>
      </c>
      <c r="V13" s="158">
        <f ca="1">IF(OR(Backlog!L13="",Backlog!G13=0),0,Backlog!L13)</f>
        <v>0</v>
      </c>
      <c r="W13" s="335">
        <f t="shared" ca="1" si="1"/>
        <v>0</v>
      </c>
      <c r="X13" s="98">
        <f t="shared" ca="1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ca="1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7448814.6899999995</v>
      </c>
      <c r="C14" s="62">
        <f ca="1">Final!C121</f>
        <v>1831796.6594060189</v>
      </c>
      <c r="D14" s="62">
        <f t="shared" ca="1" si="0"/>
        <v>9280611.3494060189</v>
      </c>
      <c r="E14" s="332">
        <f>+Data!BN12</f>
        <v>0.9461765251161306</v>
      </c>
      <c r="F14" s="345">
        <f>Final!B15</f>
        <v>37790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9432779.5645508599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7542741.7800000049</v>
      </c>
      <c r="C15" s="62">
        <f ca="1">Final!C122</f>
        <v>1539808.0694060172</v>
      </c>
      <c r="D15" s="62">
        <f t="shared" ca="1" si="0"/>
        <v>9082549.8494060226</v>
      </c>
      <c r="E15" s="332">
        <f>+Data!BN13</f>
        <v>0.95320743226422966</v>
      </c>
      <c r="F15" s="345">
        <f>Final!B16</f>
        <v>39598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9269080.7313635238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7559629.2599999961</v>
      </c>
      <c r="C16" s="62">
        <f ca="1">Final!C123</f>
        <v>1263508.049406013</v>
      </c>
      <c r="D16" s="62">
        <f t="shared" ca="1" si="0"/>
        <v>8823137.3094060086</v>
      </c>
      <c r="E16" s="332">
        <f>+Data!BN14</f>
        <v>0.95966901885398148</v>
      </c>
      <c r="F16" s="345">
        <f>Final!B17</f>
        <v>39369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9041025.3610784616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7700551.1600000113</v>
      </c>
      <c r="C17" s="62">
        <f ca="1">Final!C124</f>
        <v>1058207.5694060097</v>
      </c>
      <c r="D17" s="62">
        <f t="shared" ca="1" si="0"/>
        <v>8758758.7294060215</v>
      </c>
      <c r="E17" s="332">
        <f>+Data!BN15</f>
        <v>0.96607216938916862</v>
      </c>
      <c r="F17" s="345">
        <f>Final!B18</f>
        <v>39172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9011622.4400820713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7341125.9199999887</v>
      </c>
      <c r="C18" s="62">
        <f ca="1">Final!C125</f>
        <v>880126.56940602371</v>
      </c>
      <c r="D18" s="62">
        <f t="shared" ca="1" si="0"/>
        <v>8221252.489406012</v>
      </c>
      <c r="E18" s="332">
        <f>+Data!BN16</f>
        <v>0.9713465065989646</v>
      </c>
      <c r="F18" s="345">
        <f>Final!B19</f>
        <v>39003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8493059.8737366144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7205357.4899999779</v>
      </c>
      <c r="C19" s="62">
        <f ca="1">Final!C126</f>
        <v>742631.08940600837</v>
      </c>
      <c r="D19" s="62">
        <f t="shared" ca="1" si="0"/>
        <v>7947988.5794059858</v>
      </c>
      <c r="E19" s="332">
        <f>+Data!BN17</f>
        <v>0.97585716712579107</v>
      </c>
      <c r="F19" s="345">
        <f>Final!B20</f>
        <v>38909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8244213.0926206894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7204277.3899999894</v>
      </c>
      <c r="C20" s="62">
        <f ca="1">Final!C127</f>
        <v>623772.52940599946</v>
      </c>
      <c r="D20" s="62">
        <f t="shared" ca="1" si="0"/>
        <v>7828049.9194059893</v>
      </c>
      <c r="E20" s="332">
        <f>+Data!BN18</f>
        <v>0.97973430552468965</v>
      </c>
      <c r="F20" s="345">
        <f>Final!B21</f>
        <v>38658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8152885.361520675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7148450.3899999894</v>
      </c>
      <c r="C21" s="62">
        <f ca="1">Final!C128</f>
        <v>526363.13940599887</v>
      </c>
      <c r="D21" s="62">
        <f t="shared" ca="1" si="0"/>
        <v>7674813.5294059888</v>
      </c>
      <c r="E21" s="332">
        <f>+Data!BN19</f>
        <v>0.98294217199668188</v>
      </c>
      <c r="F21" s="345">
        <f>Final!B22</f>
        <v>38271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8025855.8755694982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6840785.5099999942</v>
      </c>
      <c r="C22" s="62">
        <f ca="1">Final!C129</f>
        <v>448934.8894059998</v>
      </c>
      <c r="D22" s="62">
        <f t="shared" ca="1" si="0"/>
        <v>7289720.3994059935</v>
      </c>
      <c r="E22" s="332">
        <f>+Data!BN20</f>
        <v>0.98549633677704296</v>
      </c>
      <c r="F22" s="345">
        <f>Final!B23</f>
        <v>37869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7654206.4193762932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6933693.2199999765</v>
      </c>
      <c r="C23" s="62">
        <f ca="1">Final!C130</f>
        <v>375576.30862738239</v>
      </c>
      <c r="D23" s="62">
        <f t="shared" ca="1" si="0"/>
        <v>7309269.5286273584</v>
      </c>
      <c r="E23" s="332">
        <f>+Data!BN21</f>
        <v>0.98786433623630543</v>
      </c>
      <c r="F23" s="345">
        <f>Final!B24</f>
        <v>37591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7706000.8173277872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6580544.3499999829</v>
      </c>
      <c r="C24" s="62">
        <f ca="1">Final!C131</f>
        <v>321984.24300624756</v>
      </c>
      <c r="D24" s="62">
        <f t="shared" ca="1" si="0"/>
        <v>6902528.5930062309</v>
      </c>
      <c r="E24" s="332">
        <f>+Data!BN22</f>
        <v>0.98992918937245789</v>
      </c>
      <c r="F24" s="345">
        <f>Final!B25</f>
        <v>37539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7306831.0101538207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6735977.6600000001</v>
      </c>
      <c r="C25" s="62">
        <f ca="1">Final!C132</f>
        <v>278125.44846512796</v>
      </c>
      <c r="D25" s="62">
        <f t="shared" ca="1" si="0"/>
        <v>7014103.1084651276</v>
      </c>
      <c r="E25" s="332">
        <f>+Data!BN23</f>
        <v>0.9912511434960084</v>
      </c>
      <c r="F25" s="345">
        <f>Final!B26</f>
        <v>36964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7455190.9174277484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6741423.4000000022</v>
      </c>
      <c r="C26" s="62">
        <f ca="1">Final!C133</f>
        <v>239359.50524893729</v>
      </c>
      <c r="D26" s="62">
        <f t="shared" ca="1" si="0"/>
        <v>6980782.90524894</v>
      </c>
      <c r="E26" s="332">
        <f>+Data!BN24</f>
        <v>0.99189101806934477</v>
      </c>
      <c r="F26" s="345">
        <f>Final!B27</f>
        <v>36903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7450004.428240953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6843134.8999999762</v>
      </c>
      <c r="C27" s="62">
        <f ca="1">Final!C134</f>
        <v>203589.41406565858</v>
      </c>
      <c r="D27" s="62">
        <f t="shared" ca="1" si="0"/>
        <v>7046724.3140656352</v>
      </c>
      <c r="E27" s="332">
        <f>+Data!BN25</f>
        <v>0.99270528721999796</v>
      </c>
      <c r="F27" s="345">
        <f>Final!B28</f>
        <v>36846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7551017.1178590981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31959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32515</v>
      </c>
    </row>
    <row r="48" spans="1:27" x14ac:dyDescent="0.2">
      <c r="A48" s="10" t="s">
        <v>703</v>
      </c>
      <c r="B48" s="10"/>
      <c r="C48" s="10"/>
      <c r="D48" s="348">
        <f>D46/D47</f>
        <v>0.98290019990773492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si="11"/>
        <v>0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ca="1" si="11"/>
        <v>7671371.4494060259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ca="1" si="11"/>
        <v>8937624.6294060163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9280611.3494060189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9082549.8494060226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8823137.3094060086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8758758.7294060215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8221252.489406012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7947988.5794059858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7828049.9194059893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7674813.5294059888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7289720.3994059935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7309269.5286273584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6902528.5930062309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7014103.1084651276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6980782.90524894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7046724.3140656352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4.59</v>
      </c>
      <c r="AK2" s="120">
        <f ca="1">MAX(AH9:AK44)</f>
        <v>177.84251112858965</v>
      </c>
    </row>
    <row r="3" spans="2:87" x14ac:dyDescent="0.2">
      <c r="Q3" s="18" t="s">
        <v>853</v>
      </c>
      <c r="R3" s="627" t="s">
        <v>855</v>
      </c>
      <c r="S3" s="628"/>
      <c r="U3" s="18" t="s">
        <v>842</v>
      </c>
      <c r="V3" s="627" t="s">
        <v>843</v>
      </c>
      <c r="W3" s="629"/>
      <c r="X3" s="629"/>
      <c r="Y3" s="628"/>
      <c r="AD3" t="s">
        <v>309</v>
      </c>
      <c r="AH3" s="1" t="s">
        <v>481</v>
      </c>
      <c r="AJ3" s="209">
        <f ca="1">MAX(INT(AJ2-MAX(2,0.05*AJ2)),0)</f>
        <v>2</v>
      </c>
      <c r="AK3" s="120">
        <f ca="1">INT(AK2)+INT(MAX(2,0.05*AK2))</f>
        <v>185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4467229</v>
      </c>
      <c r="D8" s="41">
        <f>Data!AO8</f>
        <v>31959</v>
      </c>
      <c r="E8" s="7">
        <f>'Incurred Per Day'!S5</f>
        <v>21</v>
      </c>
      <c r="F8" s="127">
        <f ca="1">ROUND(C8/D8,2)</f>
        <v>139.78</v>
      </c>
      <c r="G8" s="439">
        <f ca="1">ROUND(C8/E8,0)</f>
        <v>212725</v>
      </c>
      <c r="H8" s="127">
        <f ca="1">ROUND(C8/D8/E8,2)</f>
        <v>6.66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3859655</v>
      </c>
      <c r="D9" s="151">
        <f>Data!AO9</f>
        <v>32222</v>
      </c>
      <c r="E9" s="10">
        <f>'Incurred Per Day'!S6</f>
        <v>21</v>
      </c>
      <c r="F9" s="295">
        <f t="shared" ref="F9:F43" ca="1" si="6">ROUND(C9/D9,2)</f>
        <v>119.78</v>
      </c>
      <c r="G9" s="441">
        <f t="shared" ref="G9:G43" ca="1" si="7">ROUND(C9/E9,0)</f>
        <v>183793</v>
      </c>
      <c r="H9" s="295">
        <f t="shared" ref="H9:H43" ca="1" si="8">ROUND(C9/D9/E9,2)</f>
        <v>5.7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4.59</v>
      </c>
      <c r="AI9" s="73"/>
      <c r="AJ9" s="73"/>
      <c r="AK9" s="73"/>
      <c r="AL9" s="73">
        <f>Transport!$G20</f>
        <v>0</v>
      </c>
      <c r="AM9" s="73">
        <f>IF(AH9=0,MAX(AH9:AH35),AH9)</f>
        <v>4.59</v>
      </c>
      <c r="AP9" s="121">
        <f>AC9</f>
        <v>44287</v>
      </c>
      <c r="AQ9" s="73">
        <f>AH9</f>
        <v>4.59</v>
      </c>
      <c r="AR9" s="73">
        <f>Transport!$N20</f>
        <v>0</v>
      </c>
      <c r="AS9" s="73">
        <f>Transport!$J20</f>
        <v>100.89458698895866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4.59</v>
      </c>
      <c r="AY9" s="15">
        <f>IF(AX9=0,0,LN(AX9))</f>
        <v>1.5238800240724537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1.5238800240724537</v>
      </c>
      <c r="BD9" s="127">
        <f t="shared" ref="BD9:BD44" ca="1" si="10">AX$56*$M7+AX$57</f>
        <v>1.6091132850235652</v>
      </c>
      <c r="BE9" s="127">
        <f ca="1">EXP(BD9)</f>
        <v>4.9983771263762069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4129716</v>
      </c>
      <c r="D10" s="151">
        <f>Data!AO10</f>
        <v>32515</v>
      </c>
      <c r="E10" s="10">
        <f>'Incurred Per Day'!S7</f>
        <v>22</v>
      </c>
      <c r="F10" s="295">
        <f t="shared" ca="1" si="6"/>
        <v>127.01</v>
      </c>
      <c r="G10" s="441">
        <f t="shared" ca="1" si="7"/>
        <v>187714</v>
      </c>
      <c r="H10" s="295">
        <f t="shared" ca="1" si="8"/>
        <v>5.77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4.9800000000000004</v>
      </c>
      <c r="AI10" s="73">
        <f>LeastSq!AD8</f>
        <v>9.203834121809388</v>
      </c>
      <c r="AJ10" s="73"/>
      <c r="AK10" s="73"/>
      <c r="AL10" s="73">
        <f>Transport!$G21</f>
        <v>0</v>
      </c>
      <c r="AM10" s="73">
        <f t="shared" ref="AM10:AM35" si="17">IF(AH10=0,MAX(AH10:AH36),AH10)</f>
        <v>4.9800000000000004</v>
      </c>
      <c r="AP10" s="121">
        <f t="shared" ref="AP10:AP44" si="18">AC10</f>
        <v>44317</v>
      </c>
      <c r="AQ10" s="73">
        <f t="shared" ref="AQ10:AQ44" si="19">AH10</f>
        <v>4.9800000000000004</v>
      </c>
      <c r="AR10" s="73">
        <f>Transport!$N21</f>
        <v>102.82659411298313</v>
      </c>
      <c r="AS10" s="73">
        <f>Transport!$J21</f>
        <v>99.675216059479581</v>
      </c>
      <c r="AT10" s="73">
        <f>Transport!$O21</f>
        <v>102.82659411298313</v>
      </c>
      <c r="AU10" s="2">
        <v>2</v>
      </c>
      <c r="AW10" s="121">
        <f>Transport!$A21</f>
        <v>44317</v>
      </c>
      <c r="AX10" s="73">
        <f t="shared" si="9"/>
        <v>4.9800000000000004</v>
      </c>
      <c r="AY10" s="15">
        <f t="shared" ref="AY10:AY44" si="20">IF(AX10=0,0,LN(AX10))</f>
        <v>1.6054298910365616</v>
      </c>
      <c r="AZ10" s="98">
        <f t="shared" ref="AZ10:AZ44" si="21">IF(AY10&gt;0,1,0)</f>
        <v>1</v>
      </c>
      <c r="BA10" s="128">
        <f>IF(AZ10&gt;0,2,0)</f>
        <v>2</v>
      </c>
      <c r="BB10" s="128">
        <f t="shared" ref="BB10:BB44" si="22">BA10^2</f>
        <v>4</v>
      </c>
      <c r="BC10" s="15">
        <f t="shared" ref="BC10:BC44" si="23">BA10*AY10</f>
        <v>3.2108597820731233</v>
      </c>
      <c r="BD10" s="127">
        <f t="shared" ca="1" si="10"/>
        <v>1.6091132850235652</v>
      </c>
      <c r="BE10" s="127">
        <f t="shared" ref="BE10:BE44" ca="1" si="24">EXP(BD10)</f>
        <v>4.9983771263762069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4990961</v>
      </c>
      <c r="D11" s="151">
        <f>Data!AO11</f>
        <v>37641</v>
      </c>
      <c r="E11" s="10">
        <f>'Incurred Per Day'!S8</f>
        <v>20</v>
      </c>
      <c r="F11" s="295">
        <f t="shared" ca="1" si="6"/>
        <v>132.59</v>
      </c>
      <c r="G11" s="441">
        <f t="shared" ca="1" si="7"/>
        <v>249548</v>
      </c>
      <c r="H11" s="295">
        <f t="shared" ca="1" si="8"/>
        <v>6.63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4.9000000000000004</v>
      </c>
      <c r="AI11" s="73">
        <f>LeastSq!AD9</f>
        <v>14.043892063383506</v>
      </c>
      <c r="AJ11" s="73"/>
      <c r="AK11" s="73"/>
      <c r="AL11" s="73">
        <f>Transport!$G22</f>
        <v>1.6117982970624964E-3</v>
      </c>
      <c r="AM11" s="73">
        <f t="shared" si="17"/>
        <v>4.9000000000000004</v>
      </c>
      <c r="AP11" s="121">
        <f t="shared" si="18"/>
        <v>44348</v>
      </c>
      <c r="AQ11" s="73">
        <f t="shared" si="19"/>
        <v>4.9000000000000004</v>
      </c>
      <c r="AR11" s="73">
        <f>Transport!$N22</f>
        <v>105.29397668688533</v>
      </c>
      <c r="AS11" s="73">
        <f>Transport!$J22</f>
        <v>107.90997929051117</v>
      </c>
      <c r="AT11" s="73">
        <f>Transport!$O22</f>
        <v>105.29397668688533</v>
      </c>
      <c r="AU11" s="2">
        <v>3</v>
      </c>
      <c r="AW11" s="121">
        <f>Transport!$A22</f>
        <v>44348</v>
      </c>
      <c r="AX11" s="73">
        <f t="shared" si="9"/>
        <v>4.9000000000000004</v>
      </c>
      <c r="AY11" s="15">
        <f t="shared" si="20"/>
        <v>1.589235205116581</v>
      </c>
      <c r="AZ11" s="98">
        <f t="shared" si="21"/>
        <v>1</v>
      </c>
      <c r="BA11" s="128">
        <f>IF(AZ11&gt;0,3,0)</f>
        <v>3</v>
      </c>
      <c r="BB11" s="128">
        <f t="shared" si="22"/>
        <v>9</v>
      </c>
      <c r="BC11" s="15">
        <f t="shared" si="23"/>
        <v>4.767705615349743</v>
      </c>
      <c r="BD11" s="127">
        <f t="shared" ca="1" si="10"/>
        <v>1.6091132850235652</v>
      </c>
      <c r="BE11" s="127">
        <f t="shared" ca="1" si="24"/>
        <v>4.9983771263762069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5424930</v>
      </c>
      <c r="D12" s="151">
        <f>Data!AO12</f>
        <v>37790</v>
      </c>
      <c r="E12" s="10">
        <f>'Incurred Per Day'!S9</f>
        <v>20</v>
      </c>
      <c r="F12" s="295">
        <f t="shared" ca="1" si="6"/>
        <v>143.55000000000001</v>
      </c>
      <c r="G12" s="441">
        <f t="shared" ca="1" si="7"/>
        <v>271247</v>
      </c>
      <c r="H12" s="295">
        <f t="shared" ca="1" si="8"/>
        <v>7.18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5.16</v>
      </c>
      <c r="AI12" s="73">
        <f>LeastSq!AD10</f>
        <v>18.739500012572169</v>
      </c>
      <c r="AJ12" s="73"/>
      <c r="AK12" s="73"/>
      <c r="AL12" s="73">
        <f>Transport!$G23</f>
        <v>8.4161657252195578E-3</v>
      </c>
      <c r="AM12" s="73">
        <f t="shared" si="17"/>
        <v>5.16</v>
      </c>
      <c r="AP12" s="121">
        <f t="shared" si="18"/>
        <v>44378</v>
      </c>
      <c r="AQ12" s="73">
        <f t="shared" si="19"/>
        <v>5.16</v>
      </c>
      <c r="AR12" s="73">
        <f>Transport!$N23</f>
        <v>110.32540692218294</v>
      </c>
      <c r="AS12" s="73">
        <f>Transport!$J23</f>
        <v>108.29673471066521</v>
      </c>
      <c r="AT12" s="73">
        <f>Transport!$O23</f>
        <v>110.32540692218294</v>
      </c>
      <c r="AU12" s="2">
        <v>4</v>
      </c>
      <c r="AW12" s="121">
        <f>Transport!$A23</f>
        <v>44378</v>
      </c>
      <c r="AX12" s="73">
        <f t="shared" si="9"/>
        <v>5.16</v>
      </c>
      <c r="AY12" s="15">
        <f t="shared" si="20"/>
        <v>1.6409365794934714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6.5637463179738855</v>
      </c>
      <c r="BD12" s="127">
        <f t="shared" ca="1" si="10"/>
        <v>1.6091132850235652</v>
      </c>
      <c r="BE12" s="127">
        <f t="shared" ca="1" si="24"/>
        <v>4.9983771263762069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5904777</v>
      </c>
      <c r="D13" s="151">
        <f>Data!AO13</f>
        <v>39598</v>
      </c>
      <c r="E13" s="10">
        <f>'Incurred Per Day'!S10</f>
        <v>22</v>
      </c>
      <c r="F13" s="295">
        <f t="shared" ca="1" si="6"/>
        <v>149.12</v>
      </c>
      <c r="G13" s="441">
        <f t="shared" ca="1" si="7"/>
        <v>268399</v>
      </c>
      <c r="H13" s="295">
        <f t="shared" ca="1" si="8"/>
        <v>6.78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0" t="s">
        <v>857</v>
      </c>
      <c r="W13" s="631"/>
      <c r="X13" s="632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5.22</v>
      </c>
      <c r="AI13" s="73">
        <f>LeastSq!AD11</f>
        <v>23.714629140456985</v>
      </c>
      <c r="AJ13" s="73"/>
      <c r="AK13" s="73"/>
      <c r="AL13" s="73">
        <f>Transport!$G24</f>
        <v>5.7532233713613844E-2</v>
      </c>
      <c r="AM13" s="73">
        <f t="shared" si="17"/>
        <v>5.22</v>
      </c>
      <c r="AP13" s="121">
        <f t="shared" si="18"/>
        <v>44409</v>
      </c>
      <c r="AQ13" s="73">
        <f t="shared" si="19"/>
        <v>5.22</v>
      </c>
      <c r="AR13" s="73">
        <f>Transport!$N24</f>
        <v>113.59873106344916</v>
      </c>
      <c r="AS13" s="73">
        <f>Transport!$J24</f>
        <v>114.76950676537243</v>
      </c>
      <c r="AT13" s="73">
        <f>Transport!$O24</f>
        <v>113.59873106344916</v>
      </c>
      <c r="AU13" s="2">
        <v>5</v>
      </c>
      <c r="AW13" s="121">
        <f>Transport!$A24</f>
        <v>44409</v>
      </c>
      <c r="AX13" s="73">
        <f t="shared" si="9"/>
        <v>5.22</v>
      </c>
      <c r="AY13" s="15">
        <f t="shared" si="20"/>
        <v>1.6524974018945473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8.2624870094727356</v>
      </c>
      <c r="BD13" s="127">
        <f t="shared" ca="1" si="10"/>
        <v>1.6091132850235652</v>
      </c>
      <c r="BE13" s="127">
        <f t="shared" ca="1" si="24"/>
        <v>4.9983771263762069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5090386</v>
      </c>
      <c r="D14" s="151">
        <f>Data!AO14</f>
        <v>39369</v>
      </c>
      <c r="E14" s="10">
        <f>'Incurred Per Day'!S11</f>
        <v>20</v>
      </c>
      <c r="F14" s="295">
        <f t="shared" ca="1" si="6"/>
        <v>129.30000000000001</v>
      </c>
      <c r="G14" s="441">
        <f t="shared" ca="1" si="7"/>
        <v>254519</v>
      </c>
      <c r="H14" s="295">
        <f t="shared" ca="1" si="8"/>
        <v>6.46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5.61</v>
      </c>
      <c r="AI14" s="73">
        <f>LeastSq!AD12</f>
        <v>28.610360741704817</v>
      </c>
      <c r="AJ14" s="73"/>
      <c r="AK14" s="73"/>
      <c r="AL14" s="73">
        <f>Transport!$G25</f>
        <v>9.6148385664823532E-2</v>
      </c>
      <c r="AM14" s="73">
        <f t="shared" si="17"/>
        <v>5.61</v>
      </c>
      <c r="AP14" s="121">
        <f t="shared" si="18"/>
        <v>44440</v>
      </c>
      <c r="AQ14" s="73">
        <f t="shared" si="19"/>
        <v>5.61</v>
      </c>
      <c r="AR14" s="73">
        <f>Transport!$N25</f>
        <v>117.79959198298037</v>
      </c>
      <c r="AS14" s="73">
        <f>Transport!$J25</f>
        <v>117.72995171430985</v>
      </c>
      <c r="AT14" s="73">
        <f>Transport!$O25</f>
        <v>117.79959198298037</v>
      </c>
      <c r="AU14" s="2">
        <v>6</v>
      </c>
      <c r="AW14" s="121">
        <f>Transport!$A25</f>
        <v>44440</v>
      </c>
      <c r="AX14" s="73">
        <f t="shared" si="9"/>
        <v>5.61</v>
      </c>
      <c r="AY14" s="15">
        <f t="shared" si="20"/>
        <v>1.724550719534605</v>
      </c>
      <c r="AZ14" s="98">
        <f t="shared" si="21"/>
        <v>1</v>
      </c>
      <c r="BA14" s="128">
        <f>IF(AZ14&gt;0,6,0)</f>
        <v>6</v>
      </c>
      <c r="BB14" s="128">
        <f t="shared" si="22"/>
        <v>36</v>
      </c>
      <c r="BC14" s="15">
        <f t="shared" si="23"/>
        <v>10.34730431720763</v>
      </c>
      <c r="BD14" s="127">
        <f t="shared" ca="1" si="10"/>
        <v>1.6091132850235652</v>
      </c>
      <c r="BE14" s="127">
        <f t="shared" ca="1" si="24"/>
        <v>4.9983771263762069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5248822</v>
      </c>
      <c r="D15" s="151">
        <f>Data!AO15</f>
        <v>39172</v>
      </c>
      <c r="E15" s="10">
        <f>'Incurred Per Day'!S12</f>
        <v>23</v>
      </c>
      <c r="F15" s="295">
        <f t="shared" ca="1" si="6"/>
        <v>133.99</v>
      </c>
      <c r="G15" s="441">
        <f t="shared" ca="1" si="7"/>
        <v>228210</v>
      </c>
      <c r="H15" s="295">
        <f t="shared" ca="1" si="8"/>
        <v>5.83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5.76</v>
      </c>
      <c r="AI15" s="73">
        <f>LeastSq!AD13</f>
        <v>33.564706785324766</v>
      </c>
      <c r="AJ15" s="73"/>
      <c r="AK15" s="73"/>
      <c r="AL15" s="73">
        <f>Transport!$G26</f>
        <v>0.12999084635592187</v>
      </c>
      <c r="AM15" s="73">
        <f t="shared" si="17"/>
        <v>5.76</v>
      </c>
      <c r="AP15" s="121">
        <f t="shared" si="18"/>
        <v>44470</v>
      </c>
      <c r="AQ15" s="73">
        <f t="shared" si="19"/>
        <v>5.76</v>
      </c>
      <c r="AR15" s="73">
        <f>Transport!$N26</f>
        <v>118.07327958953175</v>
      </c>
      <c r="AS15" s="73">
        <f>Transport!$J26</f>
        <v>120.89931746925885</v>
      </c>
      <c r="AT15" s="73">
        <f>Transport!$O26</f>
        <v>118.07327958953175</v>
      </c>
      <c r="AU15" s="2">
        <v>7</v>
      </c>
      <c r="AW15" s="121">
        <f>Transport!$A26</f>
        <v>44470</v>
      </c>
      <c r="AX15" s="73">
        <f t="shared" si="9"/>
        <v>5.76</v>
      </c>
      <c r="AY15" s="15">
        <f t="shared" si="20"/>
        <v>1.7509374747077999</v>
      </c>
      <c r="AZ15" s="98">
        <f t="shared" si="21"/>
        <v>1</v>
      </c>
      <c r="BA15" s="128">
        <f>IF(AZ15&gt;0,7,0)</f>
        <v>7</v>
      </c>
      <c r="BB15" s="128">
        <f t="shared" si="22"/>
        <v>49</v>
      </c>
      <c r="BC15" s="15">
        <f t="shared" si="23"/>
        <v>12.256562322954599</v>
      </c>
      <c r="BD15" s="127">
        <f t="shared" ca="1" si="10"/>
        <v>1.6091132850235652</v>
      </c>
      <c r="BE15" s="127">
        <f t="shared" ca="1" si="24"/>
        <v>4.9983771263762069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4798564</v>
      </c>
      <c r="D16" s="151">
        <f>Data!AO16</f>
        <v>39003</v>
      </c>
      <c r="E16" s="10">
        <f>'Incurred Per Day'!S13</f>
        <v>20</v>
      </c>
      <c r="F16" s="295">
        <f t="shared" ca="1" si="6"/>
        <v>123.03</v>
      </c>
      <c r="G16" s="441">
        <f t="shared" ca="1" si="7"/>
        <v>239928</v>
      </c>
      <c r="H16" s="295">
        <f t="shared" ca="1" si="8"/>
        <v>6.15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5.78</v>
      </c>
      <c r="AI16" s="73">
        <f>LeastSq!AD14</f>
        <v>38.000434999411304</v>
      </c>
      <c r="AJ16" s="73"/>
      <c r="AK16" s="73"/>
      <c r="AL16" s="73">
        <f>Transport!$G27</f>
        <v>0.16341785968272479</v>
      </c>
      <c r="AM16" s="73">
        <f t="shared" si="17"/>
        <v>5.78</v>
      </c>
      <c r="AP16" s="121">
        <f t="shared" si="18"/>
        <v>44501</v>
      </c>
      <c r="AQ16" s="73">
        <f t="shared" si="19"/>
        <v>5.78</v>
      </c>
      <c r="AR16" s="73">
        <f>Transport!$N27</f>
        <v>116.58195637688645</v>
      </c>
      <c r="AS16" s="73">
        <f>Transport!$J27</f>
        <v>115.59056958502657</v>
      </c>
      <c r="AT16" s="73">
        <f>Transport!$O27</f>
        <v>116.58195637688645</v>
      </c>
      <c r="AU16" s="2">
        <v>8</v>
      </c>
      <c r="AW16" s="121">
        <f>Transport!$A27</f>
        <v>44501</v>
      </c>
      <c r="AX16" s="73">
        <f t="shared" si="9"/>
        <v>5.78</v>
      </c>
      <c r="AY16" s="15">
        <f t="shared" si="20"/>
        <v>1.7544036826842861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14.035229461474289</v>
      </c>
      <c r="BD16" s="127">
        <f t="shared" ca="1" si="10"/>
        <v>1.6091132850235652</v>
      </c>
      <c r="BE16" s="127">
        <f t="shared" ca="1" si="24"/>
        <v>4.9983771263762069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4923140</v>
      </c>
      <c r="D17" s="151">
        <f>Data!AO17</f>
        <v>38909</v>
      </c>
      <c r="E17" s="10">
        <f>'Incurred Per Day'!S14</f>
        <v>22</v>
      </c>
      <c r="F17" s="295">
        <f t="shared" ca="1" si="6"/>
        <v>126.53</v>
      </c>
      <c r="G17" s="441">
        <f t="shared" ca="1" si="7"/>
        <v>223779</v>
      </c>
      <c r="H17" s="295">
        <f t="shared" ca="1" si="8"/>
        <v>5.75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5.15</v>
      </c>
      <c r="AI17" s="73">
        <f>LeastSq!AD15</f>
        <v>42.566855263510988</v>
      </c>
      <c r="AJ17" s="73"/>
      <c r="AK17" s="73"/>
      <c r="AL17" s="73">
        <f>Transport!$G28</f>
        <v>0.19542341715603326</v>
      </c>
      <c r="AM17" s="73">
        <f t="shared" si="17"/>
        <v>5.15</v>
      </c>
      <c r="AP17" s="121">
        <f t="shared" si="18"/>
        <v>44531</v>
      </c>
      <c r="AQ17" s="73">
        <f t="shared" si="19"/>
        <v>5.15</v>
      </c>
      <c r="AR17" s="73">
        <f>Transport!$N28</f>
        <v>110.527064892346</v>
      </c>
      <c r="AS17" s="73">
        <f>Transport!$J28</f>
        <v>113.25598207637394</v>
      </c>
      <c r="AT17" s="73">
        <f>Transport!$O28</f>
        <v>110.527064892346</v>
      </c>
      <c r="AU17" s="2">
        <v>9</v>
      </c>
      <c r="AW17" s="121">
        <f>Transport!$A28</f>
        <v>44531</v>
      </c>
      <c r="AX17" s="73">
        <f t="shared" si="9"/>
        <v>5.15</v>
      </c>
      <c r="AY17" s="15">
        <f t="shared" si="20"/>
        <v>1.6389967146756448</v>
      </c>
      <c r="AZ17" s="98">
        <f t="shared" si="21"/>
        <v>1</v>
      </c>
      <c r="BA17" s="128">
        <f>IF(AZ17&gt;0,9,0)</f>
        <v>9</v>
      </c>
      <c r="BB17" s="128">
        <f t="shared" si="22"/>
        <v>81</v>
      </c>
      <c r="BC17" s="15">
        <f t="shared" si="23"/>
        <v>14.750970432080804</v>
      </c>
      <c r="BD17" s="127">
        <f t="shared" ca="1" si="10"/>
        <v>1.6091132850235652</v>
      </c>
      <c r="BE17" s="127">
        <f t="shared" ca="1" si="24"/>
        <v>4.9983771263762069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4806629</v>
      </c>
      <c r="D18" s="151">
        <f>Data!AO18</f>
        <v>38658</v>
      </c>
      <c r="E18" s="10">
        <f>'Incurred Per Day'!S15</f>
        <v>22</v>
      </c>
      <c r="F18" s="295">
        <f t="shared" ca="1" si="6"/>
        <v>124.34</v>
      </c>
      <c r="G18" s="441">
        <f t="shared" ca="1" si="7"/>
        <v>218483</v>
      </c>
      <c r="H18" s="295">
        <f t="shared" ca="1" si="8"/>
        <v>5.65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5.14</v>
      </c>
      <c r="AI18" s="73">
        <f>LeastSq!AD16</f>
        <v>46.321493825043049</v>
      </c>
      <c r="AJ18" s="73"/>
      <c r="AK18" s="73"/>
      <c r="AL18" s="73">
        <f>Transport!$G29</f>
        <v>0.17726882616127573</v>
      </c>
      <c r="AM18" s="73">
        <f t="shared" si="17"/>
        <v>5.14</v>
      </c>
      <c r="AP18" s="121">
        <f t="shared" si="18"/>
        <v>44562</v>
      </c>
      <c r="AQ18" s="73">
        <f t="shared" si="19"/>
        <v>5.14</v>
      </c>
      <c r="AR18" s="73">
        <f>Transport!$N29</f>
        <v>107.41843606553721</v>
      </c>
      <c r="AS18" s="73">
        <f>Transport!$J29</f>
        <v>102.7346430156375</v>
      </c>
      <c r="AT18" s="73">
        <f>Transport!$O29</f>
        <v>107.41843606553721</v>
      </c>
      <c r="AU18" s="2">
        <v>10</v>
      </c>
      <c r="AW18" s="121">
        <f>Transport!$A29</f>
        <v>44562</v>
      </c>
      <c r="AX18" s="73">
        <f t="shared" si="9"/>
        <v>5.14</v>
      </c>
      <c r="AY18" s="15">
        <f t="shared" si="20"/>
        <v>1.6370530794670737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16.370530794670735</v>
      </c>
      <c r="BD18" s="127">
        <f t="shared" ca="1" si="10"/>
        <v>1.6091132850235652</v>
      </c>
      <c r="BE18" s="127">
        <f t="shared" ca="1" si="24"/>
        <v>4.9983771263762069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4539169</v>
      </c>
      <c r="D19" s="151">
        <f>Data!AO19</f>
        <v>38271</v>
      </c>
      <c r="E19" s="10">
        <f>'Incurred Per Day'!S16</f>
        <v>20</v>
      </c>
      <c r="F19" s="295">
        <f t="shared" ca="1" si="6"/>
        <v>118.61</v>
      </c>
      <c r="G19" s="441">
        <f t="shared" ca="1" si="7"/>
        <v>226958</v>
      </c>
      <c r="H19" s="295">
        <f t="shared" ca="1" si="8"/>
        <v>5.93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5.31</v>
      </c>
      <c r="AI19" s="73">
        <f>LeastSq!AD17</f>
        <v>51.325262914005009</v>
      </c>
      <c r="AJ19" s="73"/>
      <c r="AK19" s="73"/>
      <c r="AL19" s="73">
        <f>Transport!$G30</f>
        <v>0.18391654807081503</v>
      </c>
      <c r="AM19" s="73">
        <f t="shared" si="17"/>
        <v>5.31</v>
      </c>
      <c r="AP19" s="121">
        <f t="shared" si="18"/>
        <v>44593</v>
      </c>
      <c r="AQ19" s="73">
        <f t="shared" si="19"/>
        <v>5.31</v>
      </c>
      <c r="AR19" s="73">
        <f>Transport!$N30</f>
        <v>111.16387298928923</v>
      </c>
      <c r="AS19" s="73">
        <f>Transport!$J30</f>
        <v>106.26468310460019</v>
      </c>
      <c r="AT19" s="73">
        <f>Transport!$O30</f>
        <v>111.16387298928923</v>
      </c>
      <c r="AU19" s="2">
        <v>11</v>
      </c>
      <c r="AW19" s="121">
        <f>Transport!$A30</f>
        <v>44593</v>
      </c>
      <c r="AX19" s="73">
        <f t="shared" si="9"/>
        <v>5.31</v>
      </c>
      <c r="AY19" s="15">
        <f t="shared" si="20"/>
        <v>1.6695918352538475</v>
      </c>
      <c r="AZ19" s="98">
        <f t="shared" si="21"/>
        <v>1</v>
      </c>
      <c r="BA19" s="128">
        <f>IF(AZ19&gt;0,11,0)</f>
        <v>11</v>
      </c>
      <c r="BB19" s="128">
        <f t="shared" si="22"/>
        <v>121</v>
      </c>
      <c r="BC19" s="15">
        <f t="shared" si="23"/>
        <v>18.365510187792321</v>
      </c>
      <c r="BD19" s="127">
        <f t="shared" ca="1" si="10"/>
        <v>1.6091132850235652</v>
      </c>
      <c r="BE19" s="127">
        <f t="shared" ca="1" si="24"/>
        <v>4.9983771263762069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5057934.6507786037</v>
      </c>
      <c r="D20" s="151">
        <f>Data!AO20</f>
        <v>37869</v>
      </c>
      <c r="E20" s="10">
        <f>'Incurred Per Day'!S17</f>
        <v>23</v>
      </c>
      <c r="F20" s="295">
        <f t="shared" si="6"/>
        <v>133.56</v>
      </c>
      <c r="G20" s="441">
        <f t="shared" si="7"/>
        <v>219910</v>
      </c>
      <c r="H20" s="295">
        <f t="shared" si="8"/>
        <v>5.81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5.41</v>
      </c>
      <c r="AI20" s="73">
        <f>LeastSq!AD18</f>
        <v>57.890925709803184</v>
      </c>
      <c r="AJ20" s="73"/>
      <c r="AK20" s="73"/>
      <c r="AL20" s="73">
        <f>Transport!$G31</f>
        <v>0.23352512273180601</v>
      </c>
      <c r="AM20" s="73">
        <f t="shared" si="17"/>
        <v>5.41</v>
      </c>
      <c r="AP20" s="121">
        <f t="shared" si="18"/>
        <v>44621</v>
      </c>
      <c r="AQ20" s="73">
        <f t="shared" si="19"/>
        <v>5.41</v>
      </c>
      <c r="AR20" s="73">
        <f>Transport!$N31</f>
        <v>114.7743981061305</v>
      </c>
      <c r="AS20" s="73">
        <f>Transport!$J31</f>
        <v>124.49229284762997</v>
      </c>
      <c r="AT20" s="73">
        <f>Transport!$O31</f>
        <v>114.7743981061305</v>
      </c>
      <c r="AU20" s="2">
        <v>12</v>
      </c>
      <c r="AW20" s="121">
        <f>Transport!$A31</f>
        <v>44621</v>
      </c>
      <c r="AX20" s="73">
        <f t="shared" si="9"/>
        <v>5.41</v>
      </c>
      <c r="AY20" s="15">
        <f t="shared" si="20"/>
        <v>1.6882490928583902</v>
      </c>
      <c r="AZ20" s="98">
        <f t="shared" si="21"/>
        <v>1</v>
      </c>
      <c r="BA20" s="128">
        <f>IF(AZ20&gt;0,12,0)</f>
        <v>12</v>
      </c>
      <c r="BB20" s="128">
        <f t="shared" si="22"/>
        <v>144</v>
      </c>
      <c r="BC20" s="15">
        <f t="shared" si="23"/>
        <v>20.258989114300682</v>
      </c>
      <c r="BD20" s="127">
        <f t="shared" ca="1" si="10"/>
        <v>1.6091132850235652</v>
      </c>
      <c r="BE20" s="127">
        <f t="shared" ca="1" si="24"/>
        <v>4.9983771263762069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4416080.295621125</v>
      </c>
      <c r="D21" s="151">
        <f>Data!AO21</f>
        <v>37591</v>
      </c>
      <c r="E21" s="10">
        <f>'Incurred Per Day'!S18</f>
        <v>20</v>
      </c>
      <c r="F21" s="295">
        <f t="shared" si="6"/>
        <v>117.48</v>
      </c>
      <c r="G21" s="441">
        <f t="shared" si="7"/>
        <v>220804</v>
      </c>
      <c r="H21" s="295">
        <f t="shared" si="8"/>
        <v>5.87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5.41</v>
      </c>
      <c r="AI21" s="73">
        <f>LeastSq!AD19</f>
        <v>61.521019150830988</v>
      </c>
      <c r="AJ21" s="73">
        <f ca="1">LeastSq!$AZ19</f>
        <v>115.74975317808881</v>
      </c>
      <c r="AK21" s="73"/>
      <c r="AL21" s="73">
        <f>Transport!$G32</f>
        <v>0.3965864344471195</v>
      </c>
      <c r="AM21" s="73">
        <f t="shared" si="17"/>
        <v>5.41</v>
      </c>
      <c r="AP21" s="121">
        <f t="shared" si="18"/>
        <v>44652</v>
      </c>
      <c r="AQ21" s="73">
        <f t="shared" si="19"/>
        <v>5.41</v>
      </c>
      <c r="AR21" s="73">
        <f>Transport!$N32</f>
        <v>117.908175398419</v>
      </c>
      <c r="AS21" s="73">
        <f>Transport!$J32</f>
        <v>113.56621836616137</v>
      </c>
      <c r="AT21" s="73">
        <f>Transport!$O32</f>
        <v>117.908175398419</v>
      </c>
      <c r="AU21" s="2">
        <v>13</v>
      </c>
      <c r="AW21" s="121">
        <f>Transport!$A32</f>
        <v>44652</v>
      </c>
      <c r="AX21" s="73">
        <f t="shared" si="9"/>
        <v>5.41</v>
      </c>
      <c r="AY21" s="15">
        <f t="shared" si="20"/>
        <v>1.6882490928583902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21.947238207159074</v>
      </c>
      <c r="BD21" s="127">
        <f t="shared" ca="1" si="10"/>
        <v>1.6091132850235652</v>
      </c>
      <c r="BE21" s="127">
        <f t="shared" ca="1" si="24"/>
        <v>4.9983771263762069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4355041.134541112</v>
      </c>
      <c r="D22" s="151">
        <f>Data!AO22</f>
        <v>37539</v>
      </c>
      <c r="E22" s="10">
        <f>'Incurred Per Day'!S19</f>
        <v>21</v>
      </c>
      <c r="F22" s="295">
        <f t="shared" si="6"/>
        <v>116.01</v>
      </c>
      <c r="G22" s="441">
        <f t="shared" si="7"/>
        <v>207383</v>
      </c>
      <c r="H22" s="295">
        <f t="shared" si="8"/>
        <v>5.52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5.51</v>
      </c>
      <c r="AI22" s="73">
        <f>LeastSq!AD20</f>
        <v>66.509895999356246</v>
      </c>
      <c r="AJ22" s="73">
        <f ca="1">LeastSq!$AZ20</f>
        <v>116.60645057142806</v>
      </c>
      <c r="AK22" s="73"/>
      <c r="AL22" s="73">
        <f>Transport!$G33</f>
        <v>0.500291394943431</v>
      </c>
      <c r="AM22" s="73">
        <f t="shared" si="17"/>
        <v>5.51</v>
      </c>
      <c r="AP22" s="121">
        <f t="shared" si="18"/>
        <v>44682</v>
      </c>
      <c r="AQ22" s="73">
        <f t="shared" si="19"/>
        <v>5.51</v>
      </c>
      <c r="AR22" s="73">
        <f>Transport!$N33</f>
        <v>115.84476506284757</v>
      </c>
      <c r="AS22" s="73">
        <f>Transport!$J33</f>
        <v>115.66601498146562</v>
      </c>
      <c r="AT22" s="73">
        <f>Transport!$O33</f>
        <v>115.84476506284757</v>
      </c>
      <c r="AU22" s="2">
        <v>14</v>
      </c>
      <c r="AW22" s="121">
        <f>Transport!$A33</f>
        <v>44682</v>
      </c>
      <c r="AX22" s="73">
        <f t="shared" si="9"/>
        <v>5.51</v>
      </c>
      <c r="AY22" s="15">
        <f t="shared" si="20"/>
        <v>1.706564623164823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23.891904724307523</v>
      </c>
      <c r="BD22" s="127">
        <f t="shared" ca="1" si="10"/>
        <v>1.6091132850235652</v>
      </c>
      <c r="BE22" s="127">
        <f t="shared" ca="1" si="24"/>
        <v>4.9983771263762069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4430972.5732161999</v>
      </c>
      <c r="D23" s="151">
        <f>Data!AO23</f>
        <v>36964</v>
      </c>
      <c r="E23" s="10">
        <f>'Incurred Per Day'!S20</f>
        <v>21</v>
      </c>
      <c r="F23" s="295">
        <f t="shared" si="6"/>
        <v>119.87</v>
      </c>
      <c r="G23" s="441">
        <f t="shared" si="7"/>
        <v>210999</v>
      </c>
      <c r="H23" s="295">
        <f t="shared" si="8"/>
        <v>5.71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5.38</v>
      </c>
      <c r="AI23" s="73">
        <f>LeastSq!AD21</f>
        <v>71.59861799624629</v>
      </c>
      <c r="AJ23" s="73">
        <f ca="1">LeastSq!$AZ21</f>
        <v>117.46948862989706</v>
      </c>
      <c r="AK23" s="73"/>
      <c r="AL23" s="73">
        <f>Transport!$G34</f>
        <v>0.55660393840438149</v>
      </c>
      <c r="AM23" s="73">
        <f t="shared" si="17"/>
        <v>5.38</v>
      </c>
      <c r="AP23" s="121">
        <f t="shared" si="18"/>
        <v>44713</v>
      </c>
      <c r="AQ23" s="73">
        <f t="shared" si="19"/>
        <v>5.38</v>
      </c>
      <c r="AR23" s="73">
        <f>Transport!$N34</f>
        <v>116.02512323526484</v>
      </c>
      <c r="AS23" s="73">
        <f>Transport!$J34</f>
        <v>118.30206184091573</v>
      </c>
      <c r="AT23" s="73">
        <f>Transport!$O34</f>
        <v>116.02512323526484</v>
      </c>
      <c r="AU23" s="2">
        <v>15</v>
      </c>
      <c r="AW23" s="121">
        <f>Transport!$A34</f>
        <v>44713</v>
      </c>
      <c r="AX23" s="73">
        <f t="shared" si="9"/>
        <v>5.38</v>
      </c>
      <c r="AY23" s="15">
        <f t="shared" si="20"/>
        <v>1.6826883741736931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25.240325612605396</v>
      </c>
      <c r="BD23" s="127">
        <f t="shared" ca="1" si="10"/>
        <v>1.6091132850235652</v>
      </c>
      <c r="BE23" s="127">
        <f t="shared" ca="1" si="24"/>
        <v>4.9983771263762069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4411169.1811832916</v>
      </c>
      <c r="D24" s="151">
        <f>Data!AO24</f>
        <v>36903</v>
      </c>
      <c r="E24" s="10">
        <f>'Incurred Per Day'!S21</f>
        <v>20</v>
      </c>
      <c r="F24" s="295">
        <f t="shared" si="6"/>
        <v>119.53</v>
      </c>
      <c r="G24" s="441">
        <f t="shared" si="7"/>
        <v>220558</v>
      </c>
      <c r="H24" s="295">
        <f t="shared" si="8"/>
        <v>5.98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5.71</v>
      </c>
      <c r="AI24" s="73">
        <f>LeastSq!AD22</f>
        <v>75.794226742716518</v>
      </c>
      <c r="AJ24" s="73">
        <f ca="1">LeastSq!$AZ22</f>
        <v>118.33891428259201</v>
      </c>
      <c r="AK24" s="73"/>
      <c r="AL24" s="73">
        <f>Transport!$G35</f>
        <v>0.58579506989904007</v>
      </c>
      <c r="AM24" s="73">
        <f t="shared" si="17"/>
        <v>5.71</v>
      </c>
      <c r="AP24" s="121">
        <f t="shared" si="18"/>
        <v>44743</v>
      </c>
      <c r="AQ24" s="73">
        <f t="shared" si="19"/>
        <v>5.71</v>
      </c>
      <c r="AR24" s="73">
        <f>Transport!$N35</f>
        <v>120.52442346559633</v>
      </c>
      <c r="AS24" s="73">
        <f>Transport!$J35</f>
        <v>114.10729288341315</v>
      </c>
      <c r="AT24" s="73">
        <f>Transport!$O35</f>
        <v>120.52442346559633</v>
      </c>
      <c r="AU24" s="2">
        <v>16</v>
      </c>
      <c r="AW24" s="121">
        <f>Transport!$A35</f>
        <v>44743</v>
      </c>
      <c r="AX24" s="73">
        <f t="shared" si="9"/>
        <v>5.71</v>
      </c>
      <c r="AY24" s="15">
        <f t="shared" si="20"/>
        <v>1.7422190236679189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27.875504378686703</v>
      </c>
      <c r="BD24" s="127">
        <f t="shared" ca="1" si="10"/>
        <v>1.6091132850235652</v>
      </c>
      <c r="BE24" s="127">
        <f t="shared" ca="1" si="24"/>
        <v>4.9983771263762069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4688230.1524083707</v>
      </c>
      <c r="D25" s="151">
        <f>Data!AO25</f>
        <v>36846</v>
      </c>
      <c r="E25" s="10">
        <f>'Incurred Per Day'!S22</f>
        <v>21</v>
      </c>
      <c r="F25" s="295">
        <f t="shared" si="6"/>
        <v>127.24</v>
      </c>
      <c r="G25" s="441">
        <f t="shared" si="7"/>
        <v>223249</v>
      </c>
      <c r="H25" s="295">
        <f t="shared" si="8"/>
        <v>6.06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5.62</v>
      </c>
      <c r="AI25" s="73">
        <f>LeastSq!AD23</f>
        <v>82.638398451939977</v>
      </c>
      <c r="AJ25" s="73">
        <f ca="1">LeastSq!$AZ23</f>
        <v>119.2147748059446</v>
      </c>
      <c r="AK25" s="73"/>
      <c r="AL25" s="73">
        <f>Transport!$G36</f>
        <v>0.73637063120689228</v>
      </c>
      <c r="AM25" s="73">
        <f t="shared" si="17"/>
        <v>5.62</v>
      </c>
      <c r="AP25" s="121">
        <f t="shared" si="18"/>
        <v>44774</v>
      </c>
      <c r="AQ25" s="73">
        <f t="shared" si="19"/>
        <v>5.62</v>
      </c>
      <c r="AR25" s="73">
        <f>Transport!$N36</f>
        <v>122.91985919748379</v>
      </c>
      <c r="AS25" s="73">
        <f>Transport!$J36</f>
        <v>129.16391567246009</v>
      </c>
      <c r="AT25" s="73">
        <f>Transport!$O36</f>
        <v>122.91985919748379</v>
      </c>
      <c r="AU25" s="2">
        <v>17</v>
      </c>
      <c r="AW25" s="121">
        <f>Transport!$A36</f>
        <v>44774</v>
      </c>
      <c r="AX25" s="73">
        <f t="shared" si="9"/>
        <v>5.62</v>
      </c>
      <c r="AY25" s="15">
        <f t="shared" si="20"/>
        <v>1.7263316639055997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29.347638286395195</v>
      </c>
      <c r="BD25" s="127">
        <f t="shared" ca="1" si="10"/>
        <v>1.6091132850235652</v>
      </c>
      <c r="BE25" s="127">
        <f t="shared" ca="1" si="24"/>
        <v>4.9983771263762069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4499385.4718065085</v>
      </c>
      <c r="D26" s="151">
        <f>Data!AO26</f>
        <v>35855</v>
      </c>
      <c r="E26" s="10">
        <f>'Incurred Per Day'!S23</f>
        <v>21</v>
      </c>
      <c r="F26" s="295">
        <f t="shared" si="6"/>
        <v>125.49</v>
      </c>
      <c r="G26" s="441">
        <f t="shared" si="7"/>
        <v>214256</v>
      </c>
      <c r="H26" s="295">
        <f t="shared" si="8"/>
        <v>5.98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5.98</v>
      </c>
      <c r="AI26" s="73">
        <f>LeastSq!AD24</f>
        <v>86.979835390998289</v>
      </c>
      <c r="AJ26" s="73">
        <f ca="1">LeastSq!$AZ24</f>
        <v>120.09711782629336</v>
      </c>
      <c r="AK26" s="73"/>
      <c r="AL26" s="73">
        <f>Transport!$G37</f>
        <v>0.79081221047262606</v>
      </c>
      <c r="AM26" s="73">
        <f t="shared" si="17"/>
        <v>5.98</v>
      </c>
      <c r="AP26" s="121">
        <f t="shared" si="18"/>
        <v>44805</v>
      </c>
      <c r="AQ26" s="73">
        <f t="shared" si="19"/>
        <v>5.98</v>
      </c>
      <c r="AR26" s="73">
        <f>Transport!$N37</f>
        <v>127.29693168681895</v>
      </c>
      <c r="AS26" s="73">
        <f>Transport!$J37</f>
        <v>125.48836903657812</v>
      </c>
      <c r="AT26" s="73">
        <f>Transport!$O37</f>
        <v>127.29693168681895</v>
      </c>
      <c r="AU26" s="2">
        <v>18</v>
      </c>
      <c r="AW26" s="121">
        <f>Transport!$A37</f>
        <v>44805</v>
      </c>
      <c r="AX26" s="73">
        <f t="shared" si="9"/>
        <v>5.98</v>
      </c>
      <c r="AY26" s="15">
        <f t="shared" si="20"/>
        <v>1.7884205679625405</v>
      </c>
      <c r="AZ26" s="98">
        <f t="shared" si="21"/>
        <v>1</v>
      </c>
      <c r="BA26" s="128">
        <f>IF(AZ26&gt;0,18,0)</f>
        <v>18</v>
      </c>
      <c r="BB26" s="128">
        <f t="shared" si="22"/>
        <v>324</v>
      </c>
      <c r="BC26" s="15">
        <f t="shared" si="23"/>
        <v>32.191570223325726</v>
      </c>
      <c r="BD26" s="127">
        <f t="shared" ca="1" si="10"/>
        <v>1.6091132850235652</v>
      </c>
      <c r="BE26" s="127">
        <f t="shared" ca="1" si="24"/>
        <v>4.9983771263762069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4602626.9710724428</v>
      </c>
      <c r="D27" s="151">
        <f>Data!AO27</f>
        <v>35634</v>
      </c>
      <c r="E27" s="10">
        <f>'Incurred Per Day'!S24</f>
        <v>23</v>
      </c>
      <c r="F27" s="295">
        <f t="shared" si="6"/>
        <v>129.16</v>
      </c>
      <c r="G27" s="441">
        <f t="shared" si="7"/>
        <v>200114</v>
      </c>
      <c r="H27" s="295">
        <f t="shared" si="8"/>
        <v>5.62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6.06</v>
      </c>
      <c r="AI27" s="73">
        <f>LeastSq!AD25</f>
        <v>92.075203828984328</v>
      </c>
      <c r="AJ27" s="73">
        <f ca="1">LeastSq!$AZ25</f>
        <v>120.98599132247304</v>
      </c>
      <c r="AK27" s="73">
        <f ca="1">LeastSq!$BJ25</f>
        <v>121.35077525563662</v>
      </c>
      <c r="AL27" s="73">
        <f>Transport!$G38</f>
        <v>0.92816838756890552</v>
      </c>
      <c r="AM27" s="73">
        <f t="shared" si="17"/>
        <v>6.06</v>
      </c>
      <c r="AP27" s="121">
        <f t="shared" si="18"/>
        <v>44835</v>
      </c>
      <c r="AQ27" s="73">
        <f t="shared" si="19"/>
        <v>6.06</v>
      </c>
      <c r="AR27" s="73">
        <f>Transport!$N38</f>
        <v>124.08701380410388</v>
      </c>
      <c r="AS27" s="73">
        <f>Transport!$J38</f>
        <v>127.23851035141863</v>
      </c>
      <c r="AT27" s="73">
        <f>Transport!$O38</f>
        <v>124.08701380410388</v>
      </c>
      <c r="AU27" s="2">
        <v>19</v>
      </c>
      <c r="AW27" s="121">
        <f>Transport!$A38</f>
        <v>44835</v>
      </c>
      <c r="AX27" s="73">
        <f t="shared" si="9"/>
        <v>6.06</v>
      </c>
      <c r="AY27" s="15">
        <f t="shared" si="20"/>
        <v>1.8017098000812231</v>
      </c>
      <c r="AZ27" s="98">
        <f t="shared" si="21"/>
        <v>1</v>
      </c>
      <c r="BA27" s="128">
        <f>IF(AZ27&gt;0,19,0)</f>
        <v>19</v>
      </c>
      <c r="BB27" s="128">
        <f t="shared" si="22"/>
        <v>361</v>
      </c>
      <c r="BC27" s="15">
        <f t="shared" si="23"/>
        <v>34.232486201543239</v>
      </c>
      <c r="BD27" s="127">
        <f t="shared" ca="1" si="10"/>
        <v>1.6091132850235652</v>
      </c>
      <c r="BE27" s="127">
        <f t="shared" ca="1" si="24"/>
        <v>4.9983771263762069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4044532.9962525791</v>
      </c>
      <c r="D28" s="151">
        <f>Data!AO28</f>
        <v>35445</v>
      </c>
      <c r="E28" s="10">
        <f>'Incurred Per Day'!S25</f>
        <v>20</v>
      </c>
      <c r="F28" s="295">
        <f t="shared" si="6"/>
        <v>114.11</v>
      </c>
      <c r="G28" s="441">
        <f t="shared" si="7"/>
        <v>202227</v>
      </c>
      <c r="H28" s="295">
        <f t="shared" si="8"/>
        <v>5.71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5.98</v>
      </c>
      <c r="AI28" s="73">
        <f>LeastSq!AD26</f>
        <v>95.672044103952885</v>
      </c>
      <c r="AJ28" s="73">
        <f ca="1">LeastSq!$AZ26</f>
        <v>121.8814436284236</v>
      </c>
      <c r="AK28" s="73">
        <f ca="1">LeastSq!$BJ26</f>
        <v>122.20163062910154</v>
      </c>
      <c r="AL28" s="73">
        <f>Transport!$G39</f>
        <v>0.96930035995118846</v>
      </c>
      <c r="AM28" s="73">
        <f t="shared" si="17"/>
        <v>5.98</v>
      </c>
      <c r="AP28" s="121">
        <f t="shared" si="18"/>
        <v>44866</v>
      </c>
      <c r="AQ28" s="73">
        <f t="shared" si="19"/>
        <v>5.98</v>
      </c>
      <c r="AR28" s="73">
        <f>Transport!$N39</f>
        <v>122.21510690503203</v>
      </c>
      <c r="AS28" s="73">
        <f>Transport!$J39</f>
        <v>119.53416202431487</v>
      </c>
      <c r="AT28" s="73">
        <f>Transport!$O39</f>
        <v>122.21510690503203</v>
      </c>
      <c r="AU28" s="2">
        <v>20</v>
      </c>
      <c r="AW28" s="121">
        <f>Transport!$A39</f>
        <v>44866</v>
      </c>
      <c r="AX28" s="73">
        <f t="shared" si="9"/>
        <v>5.98</v>
      </c>
      <c r="AY28" s="15">
        <f t="shared" si="20"/>
        <v>1.7884205679625405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35.768411359250806</v>
      </c>
      <c r="BD28" s="127">
        <f t="shared" ca="1" si="10"/>
        <v>1.6091132850235652</v>
      </c>
      <c r="BE28" s="127">
        <f t="shared" ca="1" si="24"/>
        <v>4.9983771263762069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4164705.7850475973</v>
      </c>
      <c r="D29" s="151">
        <f>Data!AO29</f>
        <v>35204</v>
      </c>
      <c r="E29" s="10">
        <f>'Incurred Per Day'!S26</f>
        <v>22</v>
      </c>
      <c r="F29" s="295">
        <f t="shared" si="6"/>
        <v>118.3</v>
      </c>
      <c r="G29" s="441">
        <f t="shared" si="7"/>
        <v>189305</v>
      </c>
      <c r="H29" s="295">
        <f t="shared" si="8"/>
        <v>5.38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5.71</v>
      </c>
      <c r="AI29" s="73">
        <f>LeastSq!AD27</f>
        <v>100.51502822348797</v>
      </c>
      <c r="AJ29" s="73">
        <f ca="1">LeastSq!$AZ27</f>
        <v>122.78352343581848</v>
      </c>
      <c r="AK29" s="73">
        <f ca="1">LeastSq!$BJ27</f>
        <v>123.05845180595763</v>
      </c>
      <c r="AL29" s="73">
        <f>Transport!$G40</f>
        <v>1.0487485990745231</v>
      </c>
      <c r="AM29" s="73">
        <f t="shared" si="17"/>
        <v>5.71</v>
      </c>
      <c r="AP29" s="121">
        <f t="shared" si="18"/>
        <v>44896</v>
      </c>
      <c r="AQ29" s="73">
        <f t="shared" si="19"/>
        <v>5.71</v>
      </c>
      <c r="AR29" s="73">
        <f>Transport!$N40</f>
        <v>118.47352876371419</v>
      </c>
      <c r="AS29" s="73">
        <f>Transport!$J40</f>
        <v>119.87264833936263</v>
      </c>
      <c r="AT29" s="73">
        <f>Transport!$O40</f>
        <v>118.47352876371419</v>
      </c>
      <c r="AU29" s="2">
        <v>21</v>
      </c>
      <c r="AW29" s="121">
        <f>Transport!$A40</f>
        <v>44896</v>
      </c>
      <c r="AX29" s="73">
        <f t="shared" si="9"/>
        <v>5.71</v>
      </c>
      <c r="AY29" s="15">
        <f t="shared" si="20"/>
        <v>1.7422190236679189</v>
      </c>
      <c r="AZ29" s="98">
        <f t="shared" si="21"/>
        <v>1</v>
      </c>
      <c r="BA29" s="128">
        <f>IF(AZ29&gt;0,21,0)</f>
        <v>21</v>
      </c>
      <c r="BB29" s="128">
        <f t="shared" si="22"/>
        <v>441</v>
      </c>
      <c r="BC29" s="15">
        <f t="shared" si="23"/>
        <v>36.586599497026299</v>
      </c>
      <c r="BD29" s="127">
        <f t="shared" ca="1" si="10"/>
        <v>1.6091132850235652</v>
      </c>
      <c r="BE29" s="127">
        <f t="shared" ca="1" si="24"/>
        <v>4.9983771263762069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4050623.8446509261</v>
      </c>
      <c r="D30" s="151">
        <f>Data!AO30</f>
        <v>35020</v>
      </c>
      <c r="E30" s="10">
        <f>'Incurred Per Day'!S27</f>
        <v>21</v>
      </c>
      <c r="F30" s="295">
        <f t="shared" si="6"/>
        <v>115.67</v>
      </c>
      <c r="G30" s="441">
        <f t="shared" si="7"/>
        <v>192887</v>
      </c>
      <c r="H30" s="295">
        <f t="shared" si="8"/>
        <v>5.51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5.52</v>
      </c>
      <c r="AI30" s="73">
        <f>LeastSq!AD28</f>
        <v>104.58159672511279</v>
      </c>
      <c r="AJ30" s="73">
        <f ca="1">LeastSq!$AZ28</f>
        <v>123.69227979671237</v>
      </c>
      <c r="AK30" s="73">
        <f ca="1">LeastSq!$BJ28</f>
        <v>123.92128061565252</v>
      </c>
      <c r="AL30" s="73">
        <f>Transport!$G41</f>
        <v>1.1683527675516023</v>
      </c>
      <c r="AM30" s="73">
        <f t="shared" si="17"/>
        <v>5.52</v>
      </c>
      <c r="AP30" s="121">
        <f t="shared" si="18"/>
        <v>44927</v>
      </c>
      <c r="AQ30" s="73">
        <f t="shared" si="19"/>
        <v>5.52</v>
      </c>
      <c r="AR30" s="73">
        <f>Transport!$N41</f>
        <v>117.78782926973163</v>
      </c>
      <c r="AS30" s="73">
        <f>Transport!$J41</f>
        <v>116.01377592746509</v>
      </c>
      <c r="AT30" s="73">
        <f>Transport!$O41</f>
        <v>117.78782926973163</v>
      </c>
      <c r="AU30" s="2">
        <v>22</v>
      </c>
      <c r="AW30" s="121">
        <f>Transport!$A41</f>
        <v>44927</v>
      </c>
      <c r="AX30" s="73">
        <f t="shared" si="9"/>
        <v>5.52</v>
      </c>
      <c r="AY30" s="15">
        <f t="shared" si="20"/>
        <v>1.7083778602890038</v>
      </c>
      <c r="AZ30" s="98">
        <f t="shared" si="21"/>
        <v>1</v>
      </c>
      <c r="BA30" s="128">
        <f>IF(AZ30&gt;0,22,0)</f>
        <v>22</v>
      </c>
      <c r="BB30" s="128">
        <f t="shared" si="22"/>
        <v>484</v>
      </c>
      <c r="BC30" s="15">
        <f t="shared" si="23"/>
        <v>37.584312926358088</v>
      </c>
      <c r="BD30" s="127">
        <f t="shared" ca="1" si="10"/>
        <v>1.6091132850235652</v>
      </c>
      <c r="BE30" s="127">
        <f t="shared" ca="1" si="24"/>
        <v>4.9983771263762069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3964823.8155994257</v>
      </c>
      <c r="D31" s="151">
        <f>Data!AO31</f>
        <v>34912</v>
      </c>
      <c r="E31" s="10">
        <f>'Incurred Per Day'!S28</f>
        <v>21</v>
      </c>
      <c r="F31" s="295">
        <f t="shared" si="6"/>
        <v>113.57</v>
      </c>
      <c r="G31" s="441">
        <f t="shared" si="7"/>
        <v>188801</v>
      </c>
      <c r="H31" s="295">
        <f t="shared" si="8"/>
        <v>5.41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5.87</v>
      </c>
      <c r="AI31" s="73">
        <f>LeastSq!AD29</f>
        <v>109.62359154459824</v>
      </c>
      <c r="AJ31" s="73">
        <f ca="1">LeastSq!$AZ29</f>
        <v>124.6077621262081</v>
      </c>
      <c r="AK31" s="73">
        <f ca="1">LeastSq!$BJ29</f>
        <v>124.79015918092209</v>
      </c>
      <c r="AL31" s="73">
        <f>Transport!$G42</f>
        <v>1.4256621430963481</v>
      </c>
      <c r="AM31" s="73">
        <f t="shared" si="17"/>
        <v>5.87</v>
      </c>
      <c r="AP31" s="121">
        <f t="shared" si="18"/>
        <v>44958</v>
      </c>
      <c r="AQ31" s="73">
        <f t="shared" si="19"/>
        <v>5.87</v>
      </c>
      <c r="AR31" s="73">
        <f>Transport!$N42</f>
        <v>122.35160906160434</v>
      </c>
      <c r="AS31" s="73">
        <f>Transport!$J42</f>
        <v>117.47706354236719</v>
      </c>
      <c r="AT31" s="73">
        <f>Transport!$O42</f>
        <v>122.35160906160434</v>
      </c>
      <c r="AU31" s="2">
        <v>23</v>
      </c>
      <c r="AW31" s="121">
        <f>Transport!$A42</f>
        <v>44958</v>
      </c>
      <c r="AX31" s="73">
        <f t="shared" si="9"/>
        <v>5.87</v>
      </c>
      <c r="AY31" s="15">
        <f t="shared" si="20"/>
        <v>1.7698546338400052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40.706656578320121</v>
      </c>
      <c r="BD31" s="127">
        <f t="shared" ca="1" si="10"/>
        <v>1.6091132850235652</v>
      </c>
      <c r="BE31" s="127">
        <f t="shared" ca="1" si="24"/>
        <v>4.9983771263762069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4337062.4982257327</v>
      </c>
      <c r="D32" s="151">
        <f>Data!AO32</f>
        <v>34838</v>
      </c>
      <c r="E32" s="10">
        <f>'Incurred Per Day'!S29</f>
        <v>23</v>
      </c>
      <c r="F32" s="295">
        <f t="shared" si="6"/>
        <v>124.49</v>
      </c>
      <c r="G32" s="441">
        <f t="shared" si="7"/>
        <v>188568</v>
      </c>
      <c r="H32" s="295">
        <f t="shared" si="8"/>
        <v>5.41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5.81</v>
      </c>
      <c r="AI32" s="73">
        <f>LeastSq!AD30</f>
        <v>117.46993612164037</v>
      </c>
      <c r="AJ32" s="73">
        <f ca="1">LeastSq!$AZ30</f>
        <v>125.53002020514427</v>
      </c>
      <c r="AK32" s="73">
        <f ca="1">LeastSq!$BJ30</f>
        <v>125.66512991984779</v>
      </c>
      <c r="AL32" s="73">
        <f>Transport!$G43</f>
        <v>1.9371670965332439</v>
      </c>
      <c r="AM32" s="73">
        <f t="shared" si="17"/>
        <v>5.81</v>
      </c>
      <c r="AP32" s="121">
        <f t="shared" si="18"/>
        <v>44986</v>
      </c>
      <c r="AQ32" s="73">
        <f t="shared" si="19"/>
        <v>5.81</v>
      </c>
      <c r="AR32" s="73">
        <f ca="1">Transport!$N43</f>
        <v>123.21567307421599</v>
      </c>
      <c r="AS32" s="73">
        <f>Transport!$J43</f>
        <v>133.5639877149807</v>
      </c>
      <c r="AT32" s="73">
        <f ca="1">Transport!$O43</f>
        <v>123.21567307421599</v>
      </c>
      <c r="AU32" s="2">
        <v>24</v>
      </c>
      <c r="AW32" s="121">
        <f>Transport!$A43</f>
        <v>44986</v>
      </c>
      <c r="AX32" s="73">
        <f t="shared" si="9"/>
        <v>5.81</v>
      </c>
      <c r="AY32" s="15">
        <f t="shared" si="20"/>
        <v>1.7595805708638197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42.229933700731671</v>
      </c>
      <c r="BD32" s="127">
        <f t="shared" ca="1" si="10"/>
        <v>1.6091132850235652</v>
      </c>
      <c r="BE32" s="127">
        <f t="shared" ca="1" si="24"/>
        <v>4.9983771263762069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3698542.2954556099</v>
      </c>
      <c r="D33" s="151">
        <f>Data!AO33</f>
        <v>34805</v>
      </c>
      <c r="E33" s="10">
        <f>'Incurred Per Day'!S30</f>
        <v>20</v>
      </c>
      <c r="F33" s="295">
        <f t="shared" si="6"/>
        <v>106.26</v>
      </c>
      <c r="G33" s="441">
        <f t="shared" si="7"/>
        <v>184927</v>
      </c>
      <c r="H33" s="295">
        <f t="shared" si="8"/>
        <v>5.31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5.93</v>
      </c>
      <c r="AI33" s="73">
        <f ca="1">LeastSq!AD31</f>
        <v>119.39517013524383</v>
      </c>
      <c r="AJ33" s="73">
        <f ca="1">LeastSq!$AZ31</f>
        <v>126.45910418280175</v>
      </c>
      <c r="AK33" s="73">
        <f ca="1">LeastSq!$BJ31</f>
        <v>126.5462355479265</v>
      </c>
      <c r="AL33" s="73">
        <f ca="1">Transport!$G44</f>
        <v>2.0231572208721764</v>
      </c>
      <c r="AM33" s="73">
        <f t="shared" ca="1" si="17"/>
        <v>5.93</v>
      </c>
      <c r="AP33" s="121">
        <f t="shared" si="18"/>
        <v>45017</v>
      </c>
      <c r="AQ33" s="73">
        <f t="shared" ca="1" si="19"/>
        <v>5.93</v>
      </c>
      <c r="AR33" s="73">
        <f ca="1">Transport!$N44</f>
        <v>125.50239835384048</v>
      </c>
      <c r="AS33" s="73">
        <f ca="1">Transport!$J44</f>
        <v>118.6059679653001</v>
      </c>
      <c r="AT33" s="73">
        <f ca="1">Transport!$O44</f>
        <v>125.50239835384048</v>
      </c>
      <c r="AU33" s="2">
        <v>25</v>
      </c>
      <c r="AW33" s="121">
        <f>Transport!$A44</f>
        <v>45017</v>
      </c>
      <c r="AX33" s="73">
        <f t="shared" ca="1" si="9"/>
        <v>5.93</v>
      </c>
      <c r="AY33" s="15">
        <f t="shared" ca="1" si="20"/>
        <v>1.780024213009634</v>
      </c>
      <c r="AZ33" s="98">
        <f t="shared" ca="1" si="21"/>
        <v>1</v>
      </c>
      <c r="BA33" s="128">
        <f ca="1">IF(AZ33&gt;0,25,0)</f>
        <v>25</v>
      </c>
      <c r="BB33" s="128">
        <f t="shared" ca="1" si="22"/>
        <v>625</v>
      </c>
      <c r="BC33" s="15">
        <f t="shared" ca="1" si="23"/>
        <v>44.500605325240848</v>
      </c>
      <c r="BD33" s="127">
        <f t="shared" ca="1" si="10"/>
        <v>1.6091132850235652</v>
      </c>
      <c r="BE33" s="127">
        <f t="shared" ca="1" si="24"/>
        <v>4.9983771263762069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3580713.2476670295</v>
      </c>
      <c r="D34" s="151">
        <f>Data!AO34</f>
        <v>34854</v>
      </c>
      <c r="E34" s="10">
        <f>'Incurred Per Day'!S31</f>
        <v>20</v>
      </c>
      <c r="F34" s="295">
        <f t="shared" si="6"/>
        <v>102.73</v>
      </c>
      <c r="G34" s="441">
        <f t="shared" si="7"/>
        <v>179036</v>
      </c>
      <c r="H34" s="295">
        <f t="shared" si="8"/>
        <v>5.14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5.65</v>
      </c>
      <c r="AI34" s="73">
        <f ca="1">LeastSq!AD32</f>
        <v>125.39793620684583</v>
      </c>
      <c r="AJ34" s="73">
        <f ca="1">LeastSq!$AZ32</f>
        <v>127.39506457963076</v>
      </c>
      <c r="AK34" s="73">
        <f ca="1">LeastSq!$BJ32</f>
        <v>127.43351908015683</v>
      </c>
      <c r="AL34" s="73">
        <f ca="1">Transport!$G45</f>
        <v>2.5197731388069893</v>
      </c>
      <c r="AM34" s="73">
        <f t="shared" ca="1" si="17"/>
        <v>5.65</v>
      </c>
      <c r="AP34" s="121">
        <f t="shared" si="18"/>
        <v>45047</v>
      </c>
      <c r="AQ34" s="73">
        <f t="shared" ca="1" si="19"/>
        <v>5.65</v>
      </c>
      <c r="AR34" s="73">
        <f ca="1">Transport!$N45</f>
        <v>123.15760068061847</v>
      </c>
      <c r="AS34" s="73">
        <f ca="1">Transport!$J45</f>
        <v>124.33723938124062</v>
      </c>
      <c r="AT34" s="73">
        <f ca="1">Transport!$O45</f>
        <v>123.15760068061847</v>
      </c>
      <c r="AU34" s="2">
        <v>26</v>
      </c>
      <c r="AW34" s="121">
        <f>Transport!$A45</f>
        <v>45047</v>
      </c>
      <c r="AX34" s="73">
        <f t="shared" ca="1" si="9"/>
        <v>5.65</v>
      </c>
      <c r="AY34" s="15">
        <f t="shared" ca="1" si="20"/>
        <v>1.7316555451583497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45.023044174117096</v>
      </c>
      <c r="BD34" s="127">
        <f t="shared" ca="1" si="10"/>
        <v>1.6091132850235652</v>
      </c>
      <c r="BE34" s="127">
        <f t="shared" ca="1" si="24"/>
        <v>4.9983771263762069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3892381.5920008197</v>
      </c>
      <c r="D35" s="151">
        <f>Data!AO35</f>
        <v>34368</v>
      </c>
      <c r="E35" s="10">
        <f>'Incurred Per Day'!S32</f>
        <v>22</v>
      </c>
      <c r="F35" s="295">
        <f t="shared" si="6"/>
        <v>113.26</v>
      </c>
      <c r="G35" s="441">
        <f t="shared" si="7"/>
        <v>176926</v>
      </c>
      <c r="H35" s="295">
        <f t="shared" si="8"/>
        <v>5.15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5.75</v>
      </c>
      <c r="AI35" s="73">
        <f ca="1">LeastSq!AD33</f>
        <v>130.69285823608453</v>
      </c>
      <c r="AJ35" s="73">
        <f ca="1">LeastSq!$AZ33</f>
        <v>128.33795228999793</v>
      </c>
      <c r="AK35" s="73">
        <f ca="1">LeastSq!$BJ33</f>
        <v>128.32702383313818</v>
      </c>
      <c r="AL35" s="73">
        <f ca="1">Transport!$G46</f>
        <v>3.0547832121105376</v>
      </c>
      <c r="AM35" s="73">
        <f t="shared" ca="1" si="17"/>
        <v>5.75</v>
      </c>
      <c r="AP35" s="121">
        <f t="shared" si="18"/>
        <v>45078</v>
      </c>
      <c r="AQ35" s="73">
        <f t="shared" ca="1" si="19"/>
        <v>5.75</v>
      </c>
      <c r="AR35" s="73">
        <f ca="1">Transport!$N46</f>
        <v>124.63249091512523</v>
      </c>
      <c r="AS35" s="73">
        <f ca="1">Transport!$J46</f>
        <v>126.52959469531471</v>
      </c>
      <c r="AT35" s="73">
        <f ca="1">Transport!$O46</f>
        <v>124.63249091512523</v>
      </c>
      <c r="AU35" s="2">
        <v>27</v>
      </c>
      <c r="AW35" s="121">
        <f>Transport!$A46</f>
        <v>45078</v>
      </c>
      <c r="AX35" s="73">
        <f t="shared" ca="1" si="9"/>
        <v>5.75</v>
      </c>
      <c r="AY35" s="15">
        <f t="shared" ca="1" si="20"/>
        <v>1.7491998548092591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47.228396079849993</v>
      </c>
      <c r="BD35" s="127">
        <f t="shared" ca="1" si="10"/>
        <v>1.6091132850235652</v>
      </c>
      <c r="BE35" s="127">
        <f t="shared" ca="1" si="24"/>
        <v>4.9983771263762069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3966143.6236014315</v>
      </c>
      <c r="D36" s="151">
        <f>Data!AO36</f>
        <v>34312</v>
      </c>
      <c r="E36" s="10">
        <f>'Incurred Per Day'!S33</f>
        <v>20</v>
      </c>
      <c r="F36" s="295">
        <f t="shared" si="6"/>
        <v>115.59</v>
      </c>
      <c r="G36" s="441">
        <f t="shared" si="7"/>
        <v>198307</v>
      </c>
      <c r="H36" s="295">
        <f t="shared" si="8"/>
        <v>5.78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6.15</v>
      </c>
      <c r="AI36" s="73">
        <f ca="1">LeastSq!AD34</f>
        <v>134.74813573821319</v>
      </c>
      <c r="AJ36" s="73">
        <f ca="1">LeastSq!$AZ34</f>
        <v>129.28781858495401</v>
      </c>
      <c r="AK36" s="73">
        <f ca="1">LeastSq!$BJ34</f>
        <v>129.22679342718627</v>
      </c>
      <c r="AL36" s="73">
        <f ca="1">Transport!$G47</f>
        <v>3.5252539548243815</v>
      </c>
      <c r="AM36" s="73">
        <f t="shared" ref="AM36:AM44" ca="1" si="50">IF(AH36=0,MAX(AH36:AH62),AH36)</f>
        <v>6.15</v>
      </c>
      <c r="AP36" s="121">
        <f t="shared" si="18"/>
        <v>45108</v>
      </c>
      <c r="AQ36" s="73">
        <f t="shared" ca="1" si="19"/>
        <v>6.15</v>
      </c>
      <c r="AR36" s="73">
        <f ca="1">Transport!$N47</f>
        <v>127.85148797899774</v>
      </c>
      <c r="AS36" s="73">
        <f ca="1">Transport!$J47</f>
        <v>123.03063866882034</v>
      </c>
      <c r="AT36" s="73">
        <f ca="1">Transport!$O47</f>
        <v>127.85148797899774</v>
      </c>
      <c r="AU36" s="2">
        <v>28</v>
      </c>
      <c r="AW36" s="121">
        <f>Transport!$A47</f>
        <v>45108</v>
      </c>
      <c r="AX36" s="73">
        <f t="shared" ca="1" si="9"/>
        <v>6.15</v>
      </c>
      <c r="AY36" s="15">
        <f t="shared" ca="1" si="20"/>
        <v>1.8164520818184267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50.86065829091595</v>
      </c>
      <c r="BD36" s="127">
        <f t="shared" ca="1" si="10"/>
        <v>1.6091132850235652</v>
      </c>
      <c r="BE36" s="127">
        <f t="shared" ca="1" si="24"/>
        <v>4.9983771263762069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4143824.1062588468</v>
      </c>
      <c r="D37" s="151">
        <f>Data!AO37</f>
        <v>34275</v>
      </c>
      <c r="E37" s="10">
        <f>'Incurred Per Day'!S34</f>
        <v>21</v>
      </c>
      <c r="F37" s="295">
        <f t="shared" si="6"/>
        <v>120.9</v>
      </c>
      <c r="G37" s="441">
        <f t="shared" si="7"/>
        <v>197325</v>
      </c>
      <c r="H37" s="295">
        <f t="shared" si="8"/>
        <v>5.76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5.83</v>
      </c>
      <c r="AI37" s="73">
        <f ca="1">LeastSq!AD35</f>
        <v>142.03610556432946</v>
      </c>
      <c r="AJ37" s="73">
        <f ca="1">LeastSq!$AZ35</f>
        <v>130.24471511502122</v>
      </c>
      <c r="AK37" s="73">
        <f ca="1">LeastSq!$BJ35</f>
        <v>130.13287178846184</v>
      </c>
      <c r="AL37" s="73">
        <f ca="1">Transport!$G48</f>
        <v>4.5461298886956509</v>
      </c>
      <c r="AM37" s="73">
        <f t="shared" ca="1" si="50"/>
        <v>5.83</v>
      </c>
      <c r="AP37" s="121">
        <f t="shared" si="18"/>
        <v>45139</v>
      </c>
      <c r="AQ37" s="73">
        <f t="shared" ca="1" si="19"/>
        <v>5.83</v>
      </c>
      <c r="AR37" s="73">
        <f ca="1">Transport!$N48</f>
        <v>128.77473881459727</v>
      </c>
      <c r="AS37" s="73">
        <f ca="1">Transport!$J48</f>
        <v>133.99423057285816</v>
      </c>
      <c r="AT37" s="73">
        <f ca="1">Transport!$O48</f>
        <v>128.77473881459727</v>
      </c>
      <c r="AU37" s="2">
        <v>29</v>
      </c>
      <c r="AW37" s="121">
        <f>Transport!$A48</f>
        <v>45139</v>
      </c>
      <c r="AX37" s="73">
        <f t="shared" ca="1" si="9"/>
        <v>5.83</v>
      </c>
      <c r="AY37" s="15">
        <f t="shared" ca="1" si="20"/>
        <v>1.7630170003624011</v>
      </c>
      <c r="AZ37" s="98">
        <f t="shared" ca="1" si="21"/>
        <v>1</v>
      </c>
      <c r="BA37" s="128">
        <f ca="1">IF(AZ37&gt;0,29,0)</f>
        <v>29</v>
      </c>
      <c r="BB37" s="128">
        <f t="shared" ca="1" si="22"/>
        <v>841</v>
      </c>
      <c r="BC37" s="15">
        <f t="shared" ca="1" si="23"/>
        <v>51.127493010509632</v>
      </c>
      <c r="BD37" s="127">
        <f t="shared" ca="1" si="10"/>
        <v>1.6091132850235652</v>
      </c>
      <c r="BE37" s="127">
        <f t="shared" ca="1" si="24"/>
        <v>4.9983771263762069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4017887.7921059667</v>
      </c>
      <c r="D38" s="151">
        <f>Data!AO38</f>
        <v>34128</v>
      </c>
      <c r="E38" s="10">
        <f>'Incurred Per Day'!S35</f>
        <v>21</v>
      </c>
      <c r="F38" s="295">
        <f t="shared" si="6"/>
        <v>117.73</v>
      </c>
      <c r="G38" s="441">
        <f t="shared" si="7"/>
        <v>191328</v>
      </c>
      <c r="H38" s="295">
        <f t="shared" si="8"/>
        <v>5.61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6.46</v>
      </c>
      <c r="AI38" s="73">
        <f ca="1">LeastSq!AD36</f>
        <v>145.86390711172541</v>
      </c>
      <c r="AJ38" s="73">
        <f ca="1">LeastSq!$AZ36</f>
        <v>131.20869391300258</v>
      </c>
      <c r="AK38" s="73">
        <f ca="1">LeastSq!$BJ36</f>
        <v>131.04530315111597</v>
      </c>
      <c r="AL38" s="73">
        <f ca="1">Transport!$G49</f>
        <v>5.2147750768371877</v>
      </c>
      <c r="AM38" s="73">
        <f t="shared" ca="1" si="50"/>
        <v>6.46</v>
      </c>
      <c r="AP38" s="121">
        <f t="shared" si="18"/>
        <v>45170</v>
      </c>
      <c r="AQ38" s="73">
        <f t="shared" ca="1" si="19"/>
        <v>6.46</v>
      </c>
      <c r="AR38" s="73">
        <f ca="1">Transport!$N49</f>
        <v>137.47054643107666</v>
      </c>
      <c r="AS38" s="73">
        <f ca="1">Transport!$J49</f>
        <v>129.29934720211332</v>
      </c>
      <c r="AT38" s="73">
        <f ca="1">Transport!$O49</f>
        <v>137.47054643107666</v>
      </c>
      <c r="AU38" s="2">
        <v>30</v>
      </c>
      <c r="AW38" s="121">
        <f>Transport!$A49</f>
        <v>45170</v>
      </c>
      <c r="AX38" s="73">
        <f t="shared" ca="1" si="9"/>
        <v>6.46</v>
      </c>
      <c r="AY38" s="15">
        <f t="shared" ca="1" si="20"/>
        <v>1.8656293177945105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55.968879533835313</v>
      </c>
      <c r="BD38" s="127">
        <f t="shared" ca="1" si="10"/>
        <v>1.6091132850235652</v>
      </c>
      <c r="BE38" s="127">
        <f t="shared" ca="1" si="24"/>
        <v>4.9983771263762069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3902507.5385429584</v>
      </c>
      <c r="D39" s="151">
        <f>Data!AO39</f>
        <v>34003</v>
      </c>
      <c r="E39" s="10">
        <f>'Incurred Per Day'!S36</f>
        <v>22</v>
      </c>
      <c r="F39" s="295">
        <f t="shared" si="6"/>
        <v>114.77</v>
      </c>
      <c r="G39" s="441">
        <f t="shared" si="7"/>
        <v>177387</v>
      </c>
      <c r="H39" s="295">
        <f t="shared" si="8"/>
        <v>5.22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6.78</v>
      </c>
      <c r="AI39" s="73">
        <f ca="1">LeastSq!AD37</f>
        <v>155.14688889270525</v>
      </c>
      <c r="AJ39" s="73">
        <f ca="1">LeastSq!$AZ37</f>
        <v>132.17980739681079</v>
      </c>
      <c r="AK39" s="73">
        <f ca="1">LeastSq!$BJ37</f>
        <v>131.96413205944859</v>
      </c>
      <c r="AL39" s="73">
        <f ca="1">Transport!$G50</f>
        <v>6.9776256376585737</v>
      </c>
      <c r="AM39" s="73">
        <f t="shared" ca="1" si="50"/>
        <v>6.78</v>
      </c>
      <c r="AP39" s="121">
        <f t="shared" si="18"/>
        <v>45200</v>
      </c>
      <c r="AQ39" s="73">
        <f t="shared" ca="1" si="19"/>
        <v>6.78</v>
      </c>
      <c r="AR39" s="73">
        <f ca="1">Transport!$N50</f>
        <v>140.65735093536958</v>
      </c>
      <c r="AS39" s="73">
        <f ca="1">Transport!$J50</f>
        <v>149.11806151825849</v>
      </c>
      <c r="AT39" s="73">
        <f ca="1">Transport!$O50</f>
        <v>140.65735093536958</v>
      </c>
      <c r="AU39" s="2">
        <v>31</v>
      </c>
      <c r="AW39" s="121">
        <f>Transport!$A50</f>
        <v>45200</v>
      </c>
      <c r="AX39" s="73">
        <f t="shared" ca="1" si="9"/>
        <v>6.78</v>
      </c>
      <c r="AY39" s="15">
        <f t="shared" ca="1" si="20"/>
        <v>1.9139771019523042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59.333290160521429</v>
      </c>
      <c r="BD39" s="127">
        <f t="shared" ca="1" si="10"/>
        <v>1.6091132850235652</v>
      </c>
      <c r="BE39" s="127">
        <f t="shared" ca="1" si="24"/>
        <v>4.9983771263762069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3673750.1315898956</v>
      </c>
      <c r="D40" s="151">
        <f>Data!AO40</f>
        <v>33923</v>
      </c>
      <c r="E40" s="10">
        <f>'Incurred Per Day'!S37</f>
        <v>21</v>
      </c>
      <c r="F40" s="295">
        <f t="shared" si="6"/>
        <v>108.3</v>
      </c>
      <c r="G40" s="441">
        <f t="shared" si="7"/>
        <v>174940</v>
      </c>
      <c r="H40" s="295">
        <f t="shared" si="8"/>
        <v>5.16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7.18</v>
      </c>
      <c r="AI40" s="73">
        <f ca="1">LeastSq!AD38</f>
        <v>158.93490424762268</v>
      </c>
      <c r="AJ40" s="73">
        <f ca="1">LeastSq!$AZ38</f>
        <v>133.15810837231876</v>
      </c>
      <c r="AK40" s="73">
        <f ca="1">LeastSq!$BJ38</f>
        <v>132.88940337008407</v>
      </c>
      <c r="AL40" s="73">
        <f ca="1">Transport!$G51</f>
        <v>7.7266099497221941</v>
      </c>
      <c r="AM40" s="73">
        <f t="shared" ca="1" si="50"/>
        <v>7.18</v>
      </c>
      <c r="AP40" s="121">
        <f t="shared" si="18"/>
        <v>45231</v>
      </c>
      <c r="AQ40" s="73">
        <f t="shared" ca="1" si="19"/>
        <v>7.18</v>
      </c>
      <c r="AR40" s="73">
        <f ca="1">Transport!$N51</f>
        <v>141.75548215722213</v>
      </c>
      <c r="AS40" s="73">
        <f ca="1">Transport!$J51</f>
        <v>143.55464408573698</v>
      </c>
      <c r="AT40" s="73">
        <f ca="1">Transport!$O51</f>
        <v>141.75548215722213</v>
      </c>
      <c r="AU40" s="2">
        <v>32</v>
      </c>
      <c r="AW40" s="121">
        <f>Transport!$A51</f>
        <v>45231</v>
      </c>
      <c r="AX40" s="73">
        <f t="shared" ca="1" si="9"/>
        <v>7.18</v>
      </c>
      <c r="AY40" s="15">
        <f t="shared" ca="1" si="20"/>
        <v>1.9712993830601329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63.081580257924251</v>
      </c>
      <c r="BD40" s="127">
        <f t="shared" ca="1" si="10"/>
        <v>1.6091132850235652</v>
      </c>
      <c r="BE40" s="127">
        <f t="shared" ca="1" si="24"/>
        <v>4.9983771263762069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3638184.9517795844</v>
      </c>
      <c r="D41" s="151">
        <f>Data!AO41</f>
        <v>33715</v>
      </c>
      <c r="E41" s="10">
        <f>'Incurred Per Day'!S38</f>
        <v>22</v>
      </c>
      <c r="F41" s="295">
        <f t="shared" si="6"/>
        <v>107.91</v>
      </c>
      <c r="G41" s="441">
        <f t="shared" si="7"/>
        <v>165372</v>
      </c>
      <c r="H41" s="295">
        <f t="shared" si="8"/>
        <v>4.9000000000000004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6.63</v>
      </c>
      <c r="AI41" s="73">
        <f ca="1">LeastSq!AD39</f>
        <v>161.28056582642697</v>
      </c>
      <c r="AJ41" s="73">
        <f ca="1">LeastSq!$AZ39</f>
        <v>134.14365003623089</v>
      </c>
      <c r="AK41" s="73">
        <f ca="1">LeastSq!$BJ39</f>
        <v>133.82116225416021</v>
      </c>
      <c r="AL41" s="73">
        <f ca="1">Transport!$G52</f>
        <v>10.04754815228095</v>
      </c>
      <c r="AM41" s="73">
        <f t="shared" ca="1" si="50"/>
        <v>6.63</v>
      </c>
      <c r="AP41" s="121">
        <f t="shared" si="18"/>
        <v>45261</v>
      </c>
      <c r="AQ41" s="73">
        <f t="shared" ca="1" si="19"/>
        <v>6.63</v>
      </c>
      <c r="AR41" s="73">
        <f ca="1">Transport!$N52</f>
        <v>134.38598325654885</v>
      </c>
      <c r="AS41" s="73">
        <f ca="1">Transport!$J52</f>
        <v>132.5937408676709</v>
      </c>
      <c r="AT41" s="73">
        <f ca="1">Transport!$O52</f>
        <v>134.38598325654885</v>
      </c>
      <c r="AU41" s="2">
        <v>33</v>
      </c>
      <c r="AW41" s="121">
        <f>Transport!$A52</f>
        <v>45261</v>
      </c>
      <c r="AX41" s="73">
        <f t="shared" ca="1" si="9"/>
        <v>6.63</v>
      </c>
      <c r="AY41" s="15">
        <f t="shared" ca="1" si="20"/>
        <v>1.8916048041977711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62.422958538526444</v>
      </c>
      <c r="BD41" s="127">
        <f t="shared" ca="1" si="10"/>
        <v>1.6091132850235652</v>
      </c>
      <c r="BE41" s="127">
        <f t="shared" ca="1" si="24"/>
        <v>4.9983771263762069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3351579.1400000011</v>
      </c>
      <c r="D42" s="151">
        <f>Data!AO42</f>
        <v>33625</v>
      </c>
      <c r="E42" s="10">
        <f>'Incurred Per Day'!S39</f>
        <v>20</v>
      </c>
      <c r="F42" s="295">
        <f t="shared" si="6"/>
        <v>99.68</v>
      </c>
      <c r="G42" s="441">
        <f t="shared" si="7"/>
        <v>167579</v>
      </c>
      <c r="H42" s="295">
        <f t="shared" si="8"/>
        <v>4.9800000000000004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5.77</v>
      </c>
      <c r="AI42" s="73">
        <f ca="1">LeastSq!AD40</f>
        <v>164.7049215026363</v>
      </c>
      <c r="AJ42" s="73">
        <f ca="1">LeastSq!$AZ40</f>
        <v>135.13648597897586</v>
      </c>
      <c r="AK42" s="73">
        <f ca="1">LeastSq!$BJ40</f>
        <v>134.75945419953439</v>
      </c>
      <c r="AL42" s="73">
        <f ca="1">Transport!$G53</f>
        <v>20.022785176072823</v>
      </c>
      <c r="AM42" s="73">
        <f t="shared" ca="1" si="50"/>
        <v>5.77</v>
      </c>
      <c r="AP42" s="121">
        <f t="shared" si="18"/>
        <v>45292</v>
      </c>
      <c r="AQ42" s="73">
        <f t="shared" ca="1" si="19"/>
        <v>5.77</v>
      </c>
      <c r="AR42" s="73">
        <f ca="1">Transport!$N53</f>
        <v>126.46217610894145</v>
      </c>
      <c r="AS42" s="73">
        <f ca="1">Transport!$J53</f>
        <v>127.00956481623867</v>
      </c>
      <c r="AT42" s="73">
        <f ca="1">Transport!$O53</f>
        <v>126.46217610894145</v>
      </c>
      <c r="AU42" s="2">
        <v>34</v>
      </c>
      <c r="AW42" s="121">
        <f>Transport!$A53</f>
        <v>45292</v>
      </c>
      <c r="AX42" s="73">
        <f t="shared" ca="1" si="9"/>
        <v>5.77</v>
      </c>
      <c r="AY42" s="15">
        <f t="shared" ca="1" si="20"/>
        <v>1.7526720805200082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59.590850737680277</v>
      </c>
      <c r="BD42" s="127">
        <f t="shared" ca="1" si="10"/>
        <v>1.6091132850235652</v>
      </c>
      <c r="BE42" s="127">
        <f t="shared" ca="1" si="24"/>
        <v>4.9983771263762069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3380977.610000005</v>
      </c>
      <c r="D43" s="151">
        <f>Data!AO43</f>
        <v>33510</v>
      </c>
      <c r="E43" s="10">
        <f>'Incurred Per Day'!S40</f>
        <v>22</v>
      </c>
      <c r="F43" s="295">
        <f t="shared" si="6"/>
        <v>100.89</v>
      </c>
      <c r="G43" s="441">
        <f t="shared" si="7"/>
        <v>153681</v>
      </c>
      <c r="H43" s="295">
        <f t="shared" si="8"/>
        <v>4.59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5.7</v>
      </c>
      <c r="AI43" s="73">
        <f ca="1">LeastSq!AD41</f>
        <v>167.49892709050434</v>
      </c>
      <c r="AJ43" s="73">
        <f ca="1">LeastSq!$AZ41</f>
        <v>136.1366701876203</v>
      </c>
      <c r="AK43" s="73">
        <f ca="1">LeastSq!$BJ41</f>
        <v>135.70432501300314</v>
      </c>
      <c r="AL43" s="73">
        <f ca="1">Transport!$G54</f>
        <v>63.312545155483875</v>
      </c>
      <c r="AM43" s="73">
        <f t="shared" ca="1" si="50"/>
        <v>5.7</v>
      </c>
      <c r="AP43" s="121">
        <f t="shared" si="18"/>
        <v>45323</v>
      </c>
      <c r="AQ43" s="73">
        <f t="shared" ca="1" si="19"/>
        <v>5.7</v>
      </c>
      <c r="AR43" s="73">
        <f ca="1">Transport!$N54</f>
        <v>128.8575956111172</v>
      </c>
      <c r="AS43" s="73">
        <f ca="1">Transport!$J54</f>
        <v>119.78322264291478</v>
      </c>
      <c r="AT43" s="73">
        <f ca="1">Transport!$O54</f>
        <v>128.8575956111172</v>
      </c>
      <c r="AU43" s="2">
        <v>35</v>
      </c>
      <c r="AW43" s="121">
        <f>Transport!$A54</f>
        <v>45323</v>
      </c>
      <c r="AX43" s="73">
        <f t="shared" ca="1" si="9"/>
        <v>5.7</v>
      </c>
      <c r="AY43" s="15">
        <f t="shared" ca="1" si="20"/>
        <v>1.7404661748405046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60.916316119417658</v>
      </c>
      <c r="BD43" s="127">
        <f t="shared" ca="1" si="10"/>
        <v>1.6091132850235652</v>
      </c>
      <c r="BE43" s="127">
        <f t="shared" ca="1" si="24"/>
        <v>4.9983771263762069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6.66</v>
      </c>
      <c r="AI44" s="73">
        <f ca="1">LeastSq!AD42</f>
        <v>177.84251112858965</v>
      </c>
      <c r="AJ44" s="73">
        <f ca="1">LeastSq!$AZ42</f>
        <v>137.14425704880503</v>
      </c>
      <c r="AK44" s="73">
        <f ca="1">LeastSq!$BJ42</f>
        <v>136.65582082253965</v>
      </c>
      <c r="AL44" s="73">
        <f ca="1">Transport!$G55</f>
        <v>121.90486185425077</v>
      </c>
      <c r="AM44" s="73">
        <f t="shared" ca="1" si="50"/>
        <v>6.66</v>
      </c>
      <c r="AP44" s="121">
        <f t="shared" si="18"/>
        <v>45352</v>
      </c>
      <c r="AQ44" s="73">
        <f t="shared" ca="1" si="19"/>
        <v>6.66</v>
      </c>
      <c r="AR44" s="73">
        <f>Transport!$N55</f>
        <v>0</v>
      </c>
      <c r="AS44" s="73">
        <f ca="1">Transport!$J55</f>
        <v>139.77999937419818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6.66</v>
      </c>
      <c r="AY44" s="15">
        <f t="shared" ca="1" si="20"/>
        <v>1.8961194845522977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68.260301443882724</v>
      </c>
      <c r="BD44" s="127">
        <f t="shared" ca="1" si="10"/>
        <v>1.6091132850235652</v>
      </c>
      <c r="BE44" s="127">
        <f t="shared" ca="1" si="24"/>
        <v>4.9983771263762069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206.06000000000003</v>
      </c>
      <c r="AY45" s="15">
        <f t="shared" ca="1" si="51"/>
        <v>62.652514545308343</v>
      </c>
      <c r="AZ45" s="98">
        <f t="shared" ca="1" si="51"/>
        <v>36</v>
      </c>
      <c r="BA45" s="128">
        <f t="shared" ca="1" si="51"/>
        <v>666</v>
      </c>
      <c r="BB45" s="7">
        <f t="shared" ca="1" si="51"/>
        <v>16206</v>
      </c>
      <c r="BC45" s="15">
        <f t="shared" ca="1" si="51"/>
        <v>1186.6307307475543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1.7403476262585651</v>
      </c>
      <c r="AZ46" s="7"/>
      <c r="BA46" s="7">
        <f ca="1">+BA45/AZ45</f>
        <v>18.5</v>
      </c>
      <c r="BB46" s="7">
        <f ca="1">+BB45/AZ45</f>
        <v>450.16666666666669</v>
      </c>
      <c r="BC46" s="15">
        <f ca="1">+BC45/AZ45</f>
        <v>32.961964742987618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36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62.652514545308343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32.961964742987618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18.5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1.7403476262585651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450.16666666666669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342.25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7.0937481748648591E-3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1.6091132850235652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8.8853140990042601E-2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8.9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100.89458698895866</v>
      </c>
      <c r="AY71" s="15">
        <f>IF(AX71=0,0,LN(AX71))</f>
        <v>4.6140762786356468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4.6140762786356468</v>
      </c>
      <c r="BD71" s="127">
        <f t="shared" ref="BD71:BD106" ca="1" si="55">AX$118*$M69+AX$119</f>
        <v>4.6624908750402403</v>
      </c>
      <c r="BE71" s="127">
        <f ca="1">EXP(BD71)</f>
        <v>105.89953641665663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4.6697818340240236</v>
      </c>
      <c r="BO71" s="127">
        <f ca="1">EXP(BN71)</f>
        <v>106.67446715436778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4.6769036764093874</v>
      </c>
      <c r="BY71" s="127">
        <f ca="1">EXP(BX71)</f>
        <v>107.43689762823887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4.6350888445566563</v>
      </c>
      <c r="CI71" s="127">
        <f ca="1">EXP(CH71)</f>
        <v>103.03707187155682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99.675216059479581</v>
      </c>
      <c r="AY72" s="15">
        <f t="shared" ref="AY72:AY106" si="61">IF(AX72=0,0,LN(AX72))</f>
        <v>4.601917060904694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9.203834121809388</v>
      </c>
      <c r="BD72" s="127">
        <f t="shared" ca="1" si="55"/>
        <v>4.6624908750402403</v>
      </c>
      <c r="BE72" s="127">
        <f ca="1">EXP(BD72)</f>
        <v>105.89953641665663</v>
      </c>
      <c r="BG72" s="121">
        <f t="shared" ref="BG72:BG106" si="65">+AW72</f>
        <v>44317</v>
      </c>
      <c r="BH72" s="73">
        <f t="shared" ref="BH72:BH106" si="66">+AT10</f>
        <v>102.82659411298313</v>
      </c>
      <c r="BI72" s="15">
        <f t="shared" ref="BI72:BI106" si="67">IF(BH72=0,0,LN(BH72))</f>
        <v>4.6330440171617235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9.2660880343234471</v>
      </c>
      <c r="BN72" s="127">
        <f t="shared" ca="1" si="56"/>
        <v>4.6697818340240236</v>
      </c>
      <c r="BO72" s="127">
        <f ca="1">EXP(BN72)</f>
        <v>106.67446715436778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4.6769036764093874</v>
      </c>
      <c r="BY72" s="127">
        <f ca="1">EXP(BX72)</f>
        <v>107.43689762823887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4.6350888445566563</v>
      </c>
      <c r="CI72" s="127">
        <f ca="1">EXP(CH72)</f>
        <v>103.03707187155682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107.90997929051117</v>
      </c>
      <c r="AY73" s="15">
        <f t="shared" si="61"/>
        <v>4.6812973544611687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14.043892063383506</v>
      </c>
      <c r="BD73" s="127">
        <f t="shared" ca="1" si="55"/>
        <v>4.6624908750402403</v>
      </c>
      <c r="BE73" s="127">
        <f ca="1">EXP(BD73)</f>
        <v>105.89953641665663</v>
      </c>
      <c r="BG73" s="121">
        <f t="shared" si="65"/>
        <v>44348</v>
      </c>
      <c r="BH73" s="73">
        <f t="shared" si="66"/>
        <v>105.29397668688533</v>
      </c>
      <c r="BI73" s="15">
        <f t="shared" si="67"/>
        <v>4.656756216049784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13.970268648149352</v>
      </c>
      <c r="BN73" s="127">
        <f t="shared" ca="1" si="56"/>
        <v>4.6697818340240236</v>
      </c>
      <c r="BO73" s="127">
        <f ca="1">EXP(BN73)</f>
        <v>106.67446715436778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4.6769036764093874</v>
      </c>
      <c r="BY73" s="127">
        <f ca="1">EXP(BX73)</f>
        <v>107.43689762823887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4.6350888445566563</v>
      </c>
      <c r="CI73" s="127">
        <f ca="1">EXP(CH73)</f>
        <v>103.03707187155682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108.29673471066521</v>
      </c>
      <c r="AY74" s="15">
        <f t="shared" si="61"/>
        <v>4.6848750031430422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18.739500012572169</v>
      </c>
      <c r="BD74" s="127">
        <f t="shared" ca="1" si="55"/>
        <v>4.6624908750402403</v>
      </c>
      <c r="BE74" s="127">
        <f ca="1">EXP(BD74)</f>
        <v>105.89953641665663</v>
      </c>
      <c r="BG74" s="121">
        <f t="shared" si="65"/>
        <v>44378</v>
      </c>
      <c r="BH74" s="73">
        <f t="shared" si="66"/>
        <v>110.32540692218294</v>
      </c>
      <c r="BI74" s="15">
        <f t="shared" si="67"/>
        <v>4.7034342435438505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18.813736974175402</v>
      </c>
      <c r="BN74" s="127">
        <f t="shared" ca="1" si="56"/>
        <v>4.6697818340240236</v>
      </c>
      <c r="BO74" s="127">
        <f ca="1">EXP(BN74)</f>
        <v>106.67446715436778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4.6769036764093874</v>
      </c>
      <c r="BY74" s="127">
        <f ca="1">EXP(BX74)</f>
        <v>107.43689762823887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4.6350888445566563</v>
      </c>
      <c r="CI74" s="127">
        <f ca="1">EXP(CH74)</f>
        <v>103.03707187155682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114.76950676537243</v>
      </c>
      <c r="AY75" s="15">
        <f t="shared" si="61"/>
        <v>4.7429258280913968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23.714629140456985</v>
      </c>
      <c r="BD75" s="127">
        <f t="shared" ca="1" si="55"/>
        <v>4.6624908750402403</v>
      </c>
      <c r="BE75" s="127">
        <f t="shared" ref="BE75:BE106" ca="1" si="81">EXP(BD75)</f>
        <v>105.89953641665663</v>
      </c>
      <c r="BG75" s="121">
        <f t="shared" si="65"/>
        <v>44409</v>
      </c>
      <c r="BH75" s="73">
        <f t="shared" si="66"/>
        <v>113.59873106344916</v>
      </c>
      <c r="BI75" s="15">
        <f t="shared" si="67"/>
        <v>4.7326723360085472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23.663361680042737</v>
      </c>
      <c r="BN75" s="127">
        <f t="shared" ca="1" si="56"/>
        <v>4.6697818340240236</v>
      </c>
      <c r="BO75" s="127">
        <f t="shared" ref="BO75:BO106" ca="1" si="82">EXP(BN75)</f>
        <v>106.67446715436778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4.6769036764093874</v>
      </c>
      <c r="BY75" s="127">
        <f t="shared" ref="BY75:BY106" ca="1" si="83">EXP(BX75)</f>
        <v>107.43689762823887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4.6350888445566563</v>
      </c>
      <c r="CI75" s="127">
        <f t="shared" ref="CI75:CI106" ca="1" si="84">EXP(CH75)</f>
        <v>103.03707187155682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117.72995171430985</v>
      </c>
      <c r="AY76" s="15">
        <f t="shared" si="61"/>
        <v>4.7683934569508031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28.610360741704817</v>
      </c>
      <c r="BD76" s="127">
        <f t="shared" ca="1" si="55"/>
        <v>4.6624908750402403</v>
      </c>
      <c r="BE76" s="127">
        <f t="shared" ca="1" si="81"/>
        <v>105.89953641665663</v>
      </c>
      <c r="BG76" s="121">
        <f t="shared" si="65"/>
        <v>44440</v>
      </c>
      <c r="BH76" s="73">
        <f t="shared" si="66"/>
        <v>117.79959198298037</v>
      </c>
      <c r="BI76" s="15">
        <f t="shared" si="67"/>
        <v>4.7689848075695558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28.613908845417335</v>
      </c>
      <c r="BN76" s="127">
        <f t="shared" ca="1" si="56"/>
        <v>4.6697818340240236</v>
      </c>
      <c r="BO76" s="127">
        <f t="shared" ca="1" si="82"/>
        <v>106.67446715436778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4.6769036764093874</v>
      </c>
      <c r="BY76" s="127">
        <f t="shared" ca="1" si="83"/>
        <v>107.43689762823887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4.6350888445566563</v>
      </c>
      <c r="CI76" s="127">
        <f t="shared" ca="1" si="84"/>
        <v>103.03707187155682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120.89931746925885</v>
      </c>
      <c r="AY77" s="15">
        <f t="shared" si="61"/>
        <v>4.7949581121892519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33.564706785324766</v>
      </c>
      <c r="BD77" s="127">
        <f t="shared" ca="1" si="55"/>
        <v>4.6624908750402403</v>
      </c>
      <c r="BE77" s="127">
        <f t="shared" ca="1" si="81"/>
        <v>105.89953641665663</v>
      </c>
      <c r="BG77" s="121">
        <f t="shared" si="65"/>
        <v>44470</v>
      </c>
      <c r="BH77" s="73">
        <f t="shared" si="66"/>
        <v>118.07327958953175</v>
      </c>
      <c r="BI77" s="15">
        <f t="shared" si="67"/>
        <v>4.7713054451872035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33.399138116310425</v>
      </c>
      <c r="BN77" s="127">
        <f t="shared" ca="1" si="56"/>
        <v>4.6697818340240236</v>
      </c>
      <c r="BO77" s="127">
        <f t="shared" ca="1" si="82"/>
        <v>106.67446715436778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4.6769036764093874</v>
      </c>
      <c r="BY77" s="127">
        <f t="shared" ca="1" si="83"/>
        <v>107.43689762823887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4.6350888445566563</v>
      </c>
      <c r="CI77" s="127">
        <f t="shared" ca="1" si="84"/>
        <v>103.03707187155682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115.59056958502657</v>
      </c>
      <c r="AY78" s="15">
        <f t="shared" si="61"/>
        <v>4.750054374926413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38.000434999411304</v>
      </c>
      <c r="BD78" s="127">
        <f t="shared" ca="1" si="55"/>
        <v>4.6624908750402403</v>
      </c>
      <c r="BE78" s="127">
        <f t="shared" ca="1" si="81"/>
        <v>105.89953641665663</v>
      </c>
      <c r="BG78" s="121">
        <f t="shared" si="65"/>
        <v>44501</v>
      </c>
      <c r="BH78" s="73">
        <f t="shared" si="66"/>
        <v>116.58195637688645</v>
      </c>
      <c r="BI78" s="15">
        <f t="shared" si="67"/>
        <v>4.7585945138875294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38.068756111100235</v>
      </c>
      <c r="BN78" s="127">
        <f t="shared" ca="1" si="56"/>
        <v>4.6697818340240236</v>
      </c>
      <c r="BO78" s="127">
        <f t="shared" ca="1" si="82"/>
        <v>106.67446715436778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4.6769036764093874</v>
      </c>
      <c r="BY78" s="127">
        <f t="shared" ca="1" si="83"/>
        <v>107.43689762823887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4.6350888445566563</v>
      </c>
      <c r="CI78" s="127">
        <f t="shared" ca="1" si="84"/>
        <v>103.03707187155682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113.25598207637394</v>
      </c>
      <c r="AY79" s="15">
        <f t="shared" si="61"/>
        <v>4.7296505848345545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42.566855263510988</v>
      </c>
      <c r="BD79" s="127">
        <f t="shared" ca="1" si="55"/>
        <v>4.6624908750402403</v>
      </c>
      <c r="BE79" s="127">
        <f t="shared" ca="1" si="81"/>
        <v>105.89953641665663</v>
      </c>
      <c r="BG79" s="121">
        <f t="shared" si="65"/>
        <v>44531</v>
      </c>
      <c r="BH79" s="73">
        <f t="shared" si="66"/>
        <v>110.527064892346</v>
      </c>
      <c r="BI79" s="15">
        <f t="shared" si="67"/>
        <v>4.7052604221195224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42.347343799075702</v>
      </c>
      <c r="BN79" s="127">
        <f t="shared" ca="1" si="56"/>
        <v>4.6697818340240236</v>
      </c>
      <c r="BO79" s="127">
        <f t="shared" ca="1" si="82"/>
        <v>106.67446715436778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4.6769036764093874</v>
      </c>
      <c r="BY79" s="127">
        <f t="shared" ca="1" si="83"/>
        <v>107.43689762823887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4.6350888445566563</v>
      </c>
      <c r="CI79" s="127">
        <f t="shared" ca="1" si="84"/>
        <v>103.03707187155682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102.7346430156375</v>
      </c>
      <c r="AY80" s="15">
        <f t="shared" si="61"/>
        <v>4.6321493825043047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46.321493825043049</v>
      </c>
      <c r="BD80" s="127">
        <f t="shared" ca="1" si="55"/>
        <v>4.6624908750402403</v>
      </c>
      <c r="BE80" s="127">
        <f t="shared" ca="1" si="81"/>
        <v>105.89953641665663</v>
      </c>
      <c r="BG80" s="121">
        <f t="shared" si="65"/>
        <v>44562</v>
      </c>
      <c r="BH80" s="73">
        <f t="shared" si="66"/>
        <v>107.41843606553721</v>
      </c>
      <c r="BI80" s="15">
        <f t="shared" si="67"/>
        <v>4.6767318253091172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46.767318253091176</v>
      </c>
      <c r="BN80" s="127">
        <f t="shared" ca="1" si="56"/>
        <v>4.6697818340240236</v>
      </c>
      <c r="BO80" s="127">
        <f t="shared" ca="1" si="82"/>
        <v>106.67446715436778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4.6769036764093874</v>
      </c>
      <c r="BY80" s="127">
        <f t="shared" ca="1" si="83"/>
        <v>107.43689762823887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4.6350888445566563</v>
      </c>
      <c r="CI80" s="127">
        <f t="shared" ca="1" si="84"/>
        <v>103.03707187155682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106.26468310460019</v>
      </c>
      <c r="AY81" s="15">
        <f t="shared" si="61"/>
        <v>4.6659329921822739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51.325262914005009</v>
      </c>
      <c r="BD81" s="127">
        <f t="shared" ca="1" si="55"/>
        <v>4.6624908750402403</v>
      </c>
      <c r="BE81" s="127">
        <f t="shared" ca="1" si="81"/>
        <v>105.89953641665663</v>
      </c>
      <c r="BG81" s="121">
        <f t="shared" si="65"/>
        <v>44593</v>
      </c>
      <c r="BH81" s="73">
        <f t="shared" si="66"/>
        <v>111.16387298928923</v>
      </c>
      <c r="BI81" s="15">
        <f t="shared" si="67"/>
        <v>4.7110054458406605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51.821059904247264</v>
      </c>
      <c r="BN81" s="127">
        <f t="shared" ca="1" si="56"/>
        <v>4.6697818340240236</v>
      </c>
      <c r="BO81" s="127">
        <f t="shared" ca="1" si="82"/>
        <v>106.67446715436778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4.6769036764093874</v>
      </c>
      <c r="BY81" s="127">
        <f t="shared" ca="1" si="83"/>
        <v>107.43689762823887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4.6350888445566563</v>
      </c>
      <c r="CI81" s="127">
        <f t="shared" ca="1" si="84"/>
        <v>103.03707187155682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124.49229284762997</v>
      </c>
      <c r="AY82" s="15">
        <f t="shared" si="61"/>
        <v>4.8242438091502651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57.890925709803184</v>
      </c>
      <c r="BD82" s="127">
        <f t="shared" ca="1" si="55"/>
        <v>4.6624908750402403</v>
      </c>
      <c r="BE82" s="127">
        <f t="shared" ca="1" si="81"/>
        <v>105.89953641665663</v>
      </c>
      <c r="BG82" s="121">
        <f t="shared" si="65"/>
        <v>44621</v>
      </c>
      <c r="BH82" s="73">
        <f t="shared" si="66"/>
        <v>114.7743981061305</v>
      </c>
      <c r="BI82" s="15">
        <f t="shared" si="67"/>
        <v>4.7429684460015658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56.915621352018789</v>
      </c>
      <c r="BN82" s="127">
        <f t="shared" ca="1" si="56"/>
        <v>4.6697818340240236</v>
      </c>
      <c r="BO82" s="127">
        <f t="shared" ca="1" si="82"/>
        <v>106.67446715436778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4.6769036764093874</v>
      </c>
      <c r="BY82" s="127">
        <f t="shared" ca="1" si="83"/>
        <v>107.43689762823887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4.6350888445566563</v>
      </c>
      <c r="CI82" s="127">
        <f t="shared" ca="1" si="84"/>
        <v>103.03707187155682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113.56621836616137</v>
      </c>
      <c r="AY83" s="15">
        <f t="shared" si="61"/>
        <v>4.7323860885254607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61.521019150830988</v>
      </c>
      <c r="BD83" s="127">
        <f t="shared" ca="1" si="55"/>
        <v>4.6624908750402403</v>
      </c>
      <c r="BE83" s="127">
        <f t="shared" ca="1" si="81"/>
        <v>105.89953641665663</v>
      </c>
      <c r="BG83" s="121">
        <f t="shared" si="65"/>
        <v>44652</v>
      </c>
      <c r="BH83" s="73">
        <f t="shared" si="66"/>
        <v>117.908175398419</v>
      </c>
      <c r="BI83" s="15">
        <f t="shared" si="67"/>
        <v>4.7699061469409818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62.008779910232761</v>
      </c>
      <c r="BN83" s="127">
        <f t="shared" ca="1" si="56"/>
        <v>4.6697818340240236</v>
      </c>
      <c r="BO83" s="127">
        <f t="shared" ca="1" si="82"/>
        <v>106.67446715436778</v>
      </c>
      <c r="BQ83" s="121">
        <f t="shared" si="71"/>
        <v>44652</v>
      </c>
      <c r="BR83" s="73">
        <f>+BH83</f>
        <v>117.908175398419</v>
      </c>
      <c r="BS83" s="15">
        <f t="shared" si="72"/>
        <v>4.7699061469409818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62.008779910232761</v>
      </c>
      <c r="BX83" s="127">
        <f t="shared" ca="1" si="57"/>
        <v>4.6769036764093874</v>
      </c>
      <c r="BY83" s="127">
        <f t="shared" ca="1" si="83"/>
        <v>107.43689762823887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4.6350888445566563</v>
      </c>
      <c r="CI83" s="127">
        <f t="shared" ca="1" si="84"/>
        <v>103.03707187155682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115.66601498146562</v>
      </c>
      <c r="AY84" s="15">
        <f t="shared" si="61"/>
        <v>4.7507068570968745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66.509895999356246</v>
      </c>
      <c r="BD84" s="127">
        <f t="shared" ca="1" si="55"/>
        <v>4.6624908750402403</v>
      </c>
      <c r="BE84" s="127">
        <f t="shared" ca="1" si="81"/>
        <v>105.89953641665663</v>
      </c>
      <c r="BG84" s="121">
        <f t="shared" si="65"/>
        <v>44682</v>
      </c>
      <c r="BH84" s="73">
        <f t="shared" si="66"/>
        <v>115.84476506284757</v>
      </c>
      <c r="BI84" s="15">
        <f t="shared" si="67"/>
        <v>4.752251062657133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66.531514877199868</v>
      </c>
      <c r="BN84" s="127">
        <f t="shared" ca="1" si="56"/>
        <v>4.6697818340240236</v>
      </c>
      <c r="BO84" s="127">
        <f t="shared" ca="1" si="82"/>
        <v>106.67446715436778</v>
      </c>
      <c r="BQ84" s="121">
        <f t="shared" si="71"/>
        <v>44682</v>
      </c>
      <c r="BR84" s="73">
        <f t="shared" ref="BR84:BR106" si="85">+BH84</f>
        <v>115.84476506284757</v>
      </c>
      <c r="BS84" s="15">
        <f t="shared" si="72"/>
        <v>4.752251062657133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66.531514877199868</v>
      </c>
      <c r="BX84" s="127">
        <f t="shared" ca="1" si="57"/>
        <v>4.6769036764093874</v>
      </c>
      <c r="BY84" s="127">
        <f t="shared" ca="1" si="83"/>
        <v>107.43689762823887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4.6350888445566563</v>
      </c>
      <c r="CI84" s="127">
        <f t="shared" ca="1" si="84"/>
        <v>103.03707187155682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118.30206184091573</v>
      </c>
      <c r="AY85" s="15">
        <f t="shared" si="61"/>
        <v>4.7732411997497524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71.59861799624629</v>
      </c>
      <c r="BD85" s="127">
        <f t="shared" ca="1" si="55"/>
        <v>4.6624908750402403</v>
      </c>
      <c r="BE85" s="127">
        <f t="shared" ca="1" si="81"/>
        <v>105.89953641665663</v>
      </c>
      <c r="BG85" s="121">
        <f t="shared" si="65"/>
        <v>44713</v>
      </c>
      <c r="BH85" s="73">
        <f t="shared" si="66"/>
        <v>116.02512323526484</v>
      </c>
      <c r="BI85" s="15">
        <f t="shared" si="67"/>
        <v>4.7538067472707377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71.307101209061059</v>
      </c>
      <c r="BN85" s="127">
        <f t="shared" ca="1" si="56"/>
        <v>4.6697818340240236</v>
      </c>
      <c r="BO85" s="127">
        <f t="shared" ca="1" si="82"/>
        <v>106.67446715436778</v>
      </c>
      <c r="BQ85" s="121">
        <f t="shared" si="71"/>
        <v>44713</v>
      </c>
      <c r="BR85" s="73">
        <f t="shared" si="85"/>
        <v>116.02512323526484</v>
      </c>
      <c r="BS85" s="15">
        <f t="shared" si="72"/>
        <v>4.7538067472707377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71.307101209061059</v>
      </c>
      <c r="BX85" s="127">
        <f t="shared" ca="1" si="57"/>
        <v>4.6769036764093874</v>
      </c>
      <c r="BY85" s="127">
        <f t="shared" ca="1" si="83"/>
        <v>107.43689762823887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4.6350888445566563</v>
      </c>
      <c r="CI85" s="127">
        <f t="shared" ca="1" si="84"/>
        <v>103.03707187155682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114.10729288341315</v>
      </c>
      <c r="AY86" s="15">
        <f t="shared" si="61"/>
        <v>4.7371391714197824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75.794226742716518</v>
      </c>
      <c r="BD86" s="127">
        <f t="shared" ca="1" si="55"/>
        <v>4.6624908750402403</v>
      </c>
      <c r="BE86" s="127">
        <f t="shared" ca="1" si="81"/>
        <v>105.89953641665663</v>
      </c>
      <c r="BG86" s="121">
        <f t="shared" si="65"/>
        <v>44743</v>
      </c>
      <c r="BH86" s="73">
        <f t="shared" si="66"/>
        <v>120.52442346559633</v>
      </c>
      <c r="BI86" s="15">
        <f t="shared" si="67"/>
        <v>4.7918524167548044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76.669638668076871</v>
      </c>
      <c r="BN86" s="127">
        <f t="shared" ca="1" si="56"/>
        <v>4.6697818340240236</v>
      </c>
      <c r="BO86" s="127">
        <f t="shared" ca="1" si="82"/>
        <v>106.67446715436778</v>
      </c>
      <c r="BQ86" s="121">
        <f t="shared" si="71"/>
        <v>44743</v>
      </c>
      <c r="BR86" s="73">
        <f t="shared" si="85"/>
        <v>120.52442346559633</v>
      </c>
      <c r="BS86" s="15">
        <f t="shared" si="72"/>
        <v>4.7918524167548044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76.669638668076871</v>
      </c>
      <c r="BX86" s="127">
        <f t="shared" ca="1" si="57"/>
        <v>4.6769036764093874</v>
      </c>
      <c r="BY86" s="127">
        <f t="shared" ca="1" si="83"/>
        <v>107.43689762823887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4.6350888445566563</v>
      </c>
      <c r="CI86" s="127">
        <f t="shared" ca="1" si="84"/>
        <v>103.03707187155682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129.16391567246009</v>
      </c>
      <c r="AY87" s="15">
        <f t="shared" si="61"/>
        <v>4.8610822618788223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82.638398451939977</v>
      </c>
      <c r="BD87" s="127">
        <f t="shared" ca="1" si="55"/>
        <v>4.6624908750402403</v>
      </c>
      <c r="BE87" s="127">
        <f t="shared" ca="1" si="81"/>
        <v>105.89953641665663</v>
      </c>
      <c r="BG87" s="121">
        <f t="shared" si="65"/>
        <v>44774</v>
      </c>
      <c r="BH87" s="73">
        <f t="shared" si="66"/>
        <v>122.91985919748379</v>
      </c>
      <c r="BI87" s="15">
        <f t="shared" si="67"/>
        <v>4.8115325917806953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81.796054060271814</v>
      </c>
      <c r="BN87" s="127">
        <f t="shared" ca="1" si="56"/>
        <v>4.6697818340240236</v>
      </c>
      <c r="BO87" s="127">
        <f t="shared" ca="1" si="82"/>
        <v>106.67446715436778</v>
      </c>
      <c r="BQ87" s="121">
        <f t="shared" si="71"/>
        <v>44774</v>
      </c>
      <c r="BR87" s="73">
        <f t="shared" si="85"/>
        <v>122.91985919748379</v>
      </c>
      <c r="BS87" s="15">
        <f t="shared" si="72"/>
        <v>4.8115325917806953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81.796054060271814</v>
      </c>
      <c r="BX87" s="127">
        <f t="shared" ca="1" si="57"/>
        <v>4.6769036764093874</v>
      </c>
      <c r="BY87" s="127">
        <f t="shared" ca="1" si="83"/>
        <v>107.43689762823887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4.6350888445566563</v>
      </c>
      <c r="CI87" s="127">
        <f t="shared" ca="1" si="84"/>
        <v>103.03707187155682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125.48836903657812</v>
      </c>
      <c r="AY88" s="15">
        <f t="shared" si="61"/>
        <v>4.8322130772776823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86.979835390998289</v>
      </c>
      <c r="BD88" s="127">
        <f t="shared" ca="1" si="55"/>
        <v>4.6624908750402403</v>
      </c>
      <c r="BE88" s="127">
        <f t="shared" ca="1" si="81"/>
        <v>105.89953641665663</v>
      </c>
      <c r="BG88" s="121">
        <f t="shared" si="65"/>
        <v>44805</v>
      </c>
      <c r="BH88" s="73">
        <f t="shared" si="66"/>
        <v>127.29693168681895</v>
      </c>
      <c r="BI88" s="15">
        <f t="shared" si="67"/>
        <v>4.8465224022628153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87.237403240730671</v>
      </c>
      <c r="BN88" s="127">
        <f t="shared" ca="1" si="56"/>
        <v>4.6697818340240236</v>
      </c>
      <c r="BO88" s="127">
        <f t="shared" ca="1" si="82"/>
        <v>106.67446715436778</v>
      </c>
      <c r="BQ88" s="121">
        <f t="shared" si="71"/>
        <v>44805</v>
      </c>
      <c r="BR88" s="73">
        <f t="shared" si="85"/>
        <v>127.29693168681895</v>
      </c>
      <c r="BS88" s="15">
        <f t="shared" si="72"/>
        <v>4.8465224022628153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87.237403240730671</v>
      </c>
      <c r="BX88" s="127">
        <f t="shared" ca="1" si="57"/>
        <v>4.6769036764093874</v>
      </c>
      <c r="BY88" s="127">
        <f t="shared" ca="1" si="83"/>
        <v>107.43689762823887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4.6350888445566563</v>
      </c>
      <c r="CI88" s="127">
        <f t="shared" ca="1" si="84"/>
        <v>103.03707187155682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127.23851035141863</v>
      </c>
      <c r="AY89" s="15">
        <f t="shared" si="61"/>
        <v>4.8460633594202278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92.075203828984328</v>
      </c>
      <c r="BD89" s="127">
        <f t="shared" ca="1" si="55"/>
        <v>4.6624908750402403</v>
      </c>
      <c r="BE89" s="127">
        <f t="shared" ca="1" si="81"/>
        <v>105.89953641665663</v>
      </c>
      <c r="BG89" s="121">
        <f t="shared" si="65"/>
        <v>44835</v>
      </c>
      <c r="BH89" s="73">
        <f t="shared" si="66"/>
        <v>124.08701380410388</v>
      </c>
      <c r="BI89" s="15">
        <f t="shared" si="67"/>
        <v>4.8209830437383552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91.598677831028752</v>
      </c>
      <c r="BN89" s="127">
        <f t="shared" ca="1" si="56"/>
        <v>4.6697818340240236</v>
      </c>
      <c r="BO89" s="127">
        <f t="shared" ca="1" si="82"/>
        <v>106.67446715436778</v>
      </c>
      <c r="BQ89" s="121">
        <f t="shared" si="71"/>
        <v>44835</v>
      </c>
      <c r="BR89" s="73">
        <f t="shared" si="85"/>
        <v>124.08701380410388</v>
      </c>
      <c r="BS89" s="15">
        <f t="shared" si="72"/>
        <v>4.8209830437383552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91.598677831028752</v>
      </c>
      <c r="BX89" s="127">
        <f t="shared" ca="1" si="57"/>
        <v>4.6769036764093874</v>
      </c>
      <c r="BY89" s="127">
        <f t="shared" ca="1" si="83"/>
        <v>107.43689762823887</v>
      </c>
      <c r="CA89" s="121">
        <f t="shared" si="76"/>
        <v>44835</v>
      </c>
      <c r="CB89" s="73">
        <f t="shared" ref="CB89:CB106" si="86">+BR89</f>
        <v>124.08701380410388</v>
      </c>
      <c r="CC89" s="15">
        <f t="shared" si="77"/>
        <v>4.8209830437383552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91.598677831028752</v>
      </c>
      <c r="CH89" s="127">
        <f t="shared" ca="1" si="58"/>
        <v>4.6350888445566563</v>
      </c>
      <c r="CI89" s="127">
        <f t="shared" ca="1" si="84"/>
        <v>103.03707187155682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119.53416202431487</v>
      </c>
      <c r="AY90" s="15">
        <f t="shared" si="61"/>
        <v>4.7836022051976439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95.672044103952885</v>
      </c>
      <c r="BD90" s="127">
        <f t="shared" ca="1" si="55"/>
        <v>4.6624908750402403</v>
      </c>
      <c r="BE90" s="127">
        <f t="shared" ca="1" si="81"/>
        <v>105.89953641665663</v>
      </c>
      <c r="BG90" s="121">
        <f t="shared" si="65"/>
        <v>44866</v>
      </c>
      <c r="BH90" s="73">
        <f t="shared" si="66"/>
        <v>122.21510690503203</v>
      </c>
      <c r="BI90" s="15">
        <f t="shared" si="67"/>
        <v>4.8057826635240559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96.115653270481118</v>
      </c>
      <c r="BN90" s="127">
        <f t="shared" ca="1" si="56"/>
        <v>4.6697818340240236</v>
      </c>
      <c r="BO90" s="127">
        <f t="shared" ca="1" si="82"/>
        <v>106.67446715436778</v>
      </c>
      <c r="BQ90" s="121">
        <f t="shared" si="71"/>
        <v>44866</v>
      </c>
      <c r="BR90" s="73">
        <f t="shared" si="85"/>
        <v>122.21510690503203</v>
      </c>
      <c r="BS90" s="15">
        <f t="shared" si="72"/>
        <v>4.8057826635240559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96.115653270481118</v>
      </c>
      <c r="BX90" s="127">
        <f t="shared" ca="1" si="57"/>
        <v>4.6769036764093874</v>
      </c>
      <c r="BY90" s="127">
        <f t="shared" ca="1" si="83"/>
        <v>107.43689762823887</v>
      </c>
      <c r="CA90" s="121">
        <f t="shared" si="76"/>
        <v>44866</v>
      </c>
      <c r="CB90" s="73">
        <f t="shared" si="86"/>
        <v>122.21510690503203</v>
      </c>
      <c r="CC90" s="15">
        <f t="shared" si="77"/>
        <v>4.8057826635240559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96.115653270481118</v>
      </c>
      <c r="CH90" s="127">
        <f t="shared" ca="1" si="58"/>
        <v>4.6350888445566563</v>
      </c>
      <c r="CI90" s="127">
        <f t="shared" ca="1" si="84"/>
        <v>103.03707187155682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119.87264833936263</v>
      </c>
      <c r="AY91" s="15">
        <f t="shared" si="61"/>
        <v>4.7864299154041889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100.51502822348797</v>
      </c>
      <c r="BD91" s="127">
        <f t="shared" ca="1" si="55"/>
        <v>4.6624908750402403</v>
      </c>
      <c r="BE91" s="127">
        <f t="shared" ca="1" si="81"/>
        <v>105.89953641665663</v>
      </c>
      <c r="BG91" s="121">
        <f t="shared" si="65"/>
        <v>44896</v>
      </c>
      <c r="BH91" s="73">
        <f t="shared" si="66"/>
        <v>118.47352876371419</v>
      </c>
      <c r="BI91" s="15">
        <f t="shared" si="67"/>
        <v>4.7746895496606081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100.26848054287277</v>
      </c>
      <c r="BN91" s="127">
        <f t="shared" ca="1" si="56"/>
        <v>4.6697818340240236</v>
      </c>
      <c r="BO91" s="127">
        <f t="shared" ca="1" si="82"/>
        <v>106.67446715436778</v>
      </c>
      <c r="BQ91" s="121">
        <f t="shared" si="71"/>
        <v>44896</v>
      </c>
      <c r="BR91" s="73">
        <f t="shared" si="85"/>
        <v>118.47352876371419</v>
      </c>
      <c r="BS91" s="15">
        <f t="shared" si="72"/>
        <v>4.7746895496606081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100.26848054287277</v>
      </c>
      <c r="BX91" s="127">
        <f t="shared" ca="1" si="57"/>
        <v>4.6769036764093874</v>
      </c>
      <c r="BY91" s="127">
        <f t="shared" ca="1" si="83"/>
        <v>107.43689762823887</v>
      </c>
      <c r="CA91" s="121">
        <f t="shared" si="76"/>
        <v>44896</v>
      </c>
      <c r="CB91" s="73">
        <f t="shared" si="86"/>
        <v>118.47352876371419</v>
      </c>
      <c r="CC91" s="15">
        <f t="shared" si="77"/>
        <v>4.7746895496606081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100.26848054287277</v>
      </c>
      <c r="CH91" s="127">
        <f t="shared" ca="1" si="58"/>
        <v>4.6350888445566563</v>
      </c>
      <c r="CI91" s="127">
        <f t="shared" ca="1" si="84"/>
        <v>103.03707187155682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116.01377592746509</v>
      </c>
      <c r="AY92" s="15">
        <f t="shared" si="61"/>
        <v>4.7537089420505811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104.58159672511279</v>
      </c>
      <c r="BD92" s="127">
        <f t="shared" ca="1" si="55"/>
        <v>4.6624908750402403</v>
      </c>
      <c r="BE92" s="127">
        <f t="shared" ca="1" si="81"/>
        <v>105.89953641665663</v>
      </c>
      <c r="BG92" s="121">
        <f t="shared" si="65"/>
        <v>44927</v>
      </c>
      <c r="BH92" s="73">
        <f t="shared" si="66"/>
        <v>117.78782926973163</v>
      </c>
      <c r="BI92" s="15">
        <f t="shared" si="67"/>
        <v>4.7688849489846108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104.91546887766144</v>
      </c>
      <c r="BN92" s="127">
        <f t="shared" ca="1" si="56"/>
        <v>4.6697818340240236</v>
      </c>
      <c r="BO92" s="127">
        <f t="shared" ca="1" si="82"/>
        <v>106.67446715436778</v>
      </c>
      <c r="BQ92" s="121">
        <f t="shared" si="71"/>
        <v>44927</v>
      </c>
      <c r="BR92" s="73">
        <f t="shared" si="85"/>
        <v>117.78782926973163</v>
      </c>
      <c r="BS92" s="15">
        <f t="shared" si="72"/>
        <v>4.7688849489846108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104.91546887766144</v>
      </c>
      <c r="BX92" s="127">
        <f t="shared" ca="1" si="57"/>
        <v>4.6769036764093874</v>
      </c>
      <c r="BY92" s="127">
        <f t="shared" ca="1" si="83"/>
        <v>107.43689762823887</v>
      </c>
      <c r="CA92" s="121">
        <f t="shared" si="76"/>
        <v>44927</v>
      </c>
      <c r="CB92" s="73">
        <f t="shared" si="86"/>
        <v>117.78782926973163</v>
      </c>
      <c r="CC92" s="15">
        <f t="shared" si="77"/>
        <v>4.7688849489846108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104.91546887766144</v>
      </c>
      <c r="CH92" s="127">
        <f t="shared" ca="1" si="58"/>
        <v>4.6350888445566563</v>
      </c>
      <c r="CI92" s="127">
        <f t="shared" ca="1" si="84"/>
        <v>103.03707187155682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117.47706354236719</v>
      </c>
      <c r="AY93" s="15">
        <f t="shared" si="61"/>
        <v>4.7662431106347061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109.62359154459824</v>
      </c>
      <c r="BD93" s="127">
        <f t="shared" ca="1" si="55"/>
        <v>4.6624908750402403</v>
      </c>
      <c r="BE93" s="127">
        <f t="shared" ca="1" si="81"/>
        <v>105.89953641665663</v>
      </c>
      <c r="BG93" s="121">
        <f t="shared" si="65"/>
        <v>44958</v>
      </c>
      <c r="BH93" s="73">
        <f t="shared" si="66"/>
        <v>122.35160906160434</v>
      </c>
      <c r="BI93" s="15">
        <f t="shared" si="67"/>
        <v>4.806898941102606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110.55867564535994</v>
      </c>
      <c r="BN93" s="127">
        <f t="shared" ca="1" si="56"/>
        <v>4.6697818340240236</v>
      </c>
      <c r="BO93" s="127">
        <f t="shared" ca="1" si="82"/>
        <v>106.67446715436778</v>
      </c>
      <c r="BQ93" s="121">
        <f t="shared" si="71"/>
        <v>44958</v>
      </c>
      <c r="BR93" s="73">
        <f t="shared" si="85"/>
        <v>122.35160906160434</v>
      </c>
      <c r="BS93" s="15">
        <f t="shared" si="72"/>
        <v>4.806898941102606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110.55867564535994</v>
      </c>
      <c r="BX93" s="127">
        <f t="shared" ca="1" si="57"/>
        <v>4.6769036764093874</v>
      </c>
      <c r="BY93" s="127">
        <f t="shared" ca="1" si="83"/>
        <v>107.43689762823887</v>
      </c>
      <c r="CA93" s="121">
        <f t="shared" si="76"/>
        <v>44958</v>
      </c>
      <c r="CB93" s="73">
        <f t="shared" si="86"/>
        <v>122.35160906160434</v>
      </c>
      <c r="CC93" s="15">
        <f t="shared" si="77"/>
        <v>4.806898941102606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110.55867564535994</v>
      </c>
      <c r="CH93" s="127">
        <f t="shared" ca="1" si="58"/>
        <v>4.6350888445566563</v>
      </c>
      <c r="CI93" s="127">
        <f t="shared" ca="1" si="84"/>
        <v>103.03707187155682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133.5639877149807</v>
      </c>
      <c r="AY94" s="15">
        <f t="shared" si="61"/>
        <v>4.8945806717350155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117.46993612164037</v>
      </c>
      <c r="BD94" s="127">
        <f t="shared" ca="1" si="55"/>
        <v>4.6624908750402403</v>
      </c>
      <c r="BE94" s="127">
        <f t="shared" ca="1" si="81"/>
        <v>105.89953641665663</v>
      </c>
      <c r="BG94" s="121">
        <f t="shared" si="65"/>
        <v>44986</v>
      </c>
      <c r="BH94" s="73">
        <f t="shared" ca="1" si="66"/>
        <v>123.21567307421599</v>
      </c>
      <c r="BI94" s="15">
        <f t="shared" ca="1" si="67"/>
        <v>4.8139362595195783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115.53447022846987</v>
      </c>
      <c r="BN94" s="127">
        <f t="shared" ca="1" si="56"/>
        <v>4.6697818340240236</v>
      </c>
      <c r="BO94" s="127">
        <f t="shared" ca="1" si="82"/>
        <v>106.67446715436778</v>
      </c>
      <c r="BQ94" s="121">
        <f t="shared" si="71"/>
        <v>44986</v>
      </c>
      <c r="BR94" s="73">
        <f t="shared" ca="1" si="85"/>
        <v>123.21567307421599</v>
      </c>
      <c r="BS94" s="15">
        <f t="shared" ca="1" si="72"/>
        <v>4.8139362595195783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115.53447022846987</v>
      </c>
      <c r="BX94" s="127">
        <f t="shared" ca="1" si="57"/>
        <v>4.6769036764093874</v>
      </c>
      <c r="BY94" s="127">
        <f t="shared" ca="1" si="83"/>
        <v>107.43689762823887</v>
      </c>
      <c r="CA94" s="121">
        <f t="shared" si="76"/>
        <v>44986</v>
      </c>
      <c r="CB94" s="73">
        <f t="shared" ca="1" si="86"/>
        <v>123.21567307421599</v>
      </c>
      <c r="CC94" s="15">
        <f t="shared" ca="1" si="77"/>
        <v>4.8139362595195783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115.53447022846987</v>
      </c>
      <c r="CH94" s="127">
        <f t="shared" ca="1" si="58"/>
        <v>4.6350888445566563</v>
      </c>
      <c r="CI94" s="127">
        <f t="shared" ca="1" si="84"/>
        <v>103.03707187155682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118.6059679653001</v>
      </c>
      <c r="AY95" s="15">
        <f t="shared" ca="1" si="61"/>
        <v>4.7758068054097533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119.39517013524383</v>
      </c>
      <c r="BD95" s="127">
        <f t="shared" ca="1" si="55"/>
        <v>4.6624908750402403</v>
      </c>
      <c r="BE95" s="127">
        <f t="shared" ca="1" si="81"/>
        <v>105.89953641665663</v>
      </c>
      <c r="BG95" s="121">
        <f t="shared" si="65"/>
        <v>45017</v>
      </c>
      <c r="BH95" s="73">
        <f t="shared" ca="1" si="66"/>
        <v>125.50239835384048</v>
      </c>
      <c r="BI95" s="15">
        <f t="shared" ca="1" si="67"/>
        <v>4.8323248687784046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120.80812171946012</v>
      </c>
      <c r="BN95" s="127">
        <f t="shared" ca="1" si="56"/>
        <v>4.6697818340240236</v>
      </c>
      <c r="BO95" s="127">
        <f t="shared" ca="1" si="82"/>
        <v>106.67446715436778</v>
      </c>
      <c r="BQ95" s="121">
        <f t="shared" si="71"/>
        <v>45017</v>
      </c>
      <c r="BR95" s="73">
        <f t="shared" ca="1" si="85"/>
        <v>125.50239835384048</v>
      </c>
      <c r="BS95" s="15">
        <f t="shared" ca="1" si="72"/>
        <v>4.8323248687784046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120.80812171946012</v>
      </c>
      <c r="BX95" s="127">
        <f t="shared" ca="1" si="57"/>
        <v>4.6769036764093874</v>
      </c>
      <c r="BY95" s="127">
        <f t="shared" ca="1" si="83"/>
        <v>107.43689762823887</v>
      </c>
      <c r="CA95" s="121">
        <f t="shared" si="76"/>
        <v>45017</v>
      </c>
      <c r="CB95" s="73">
        <f t="shared" ca="1" si="86"/>
        <v>125.50239835384048</v>
      </c>
      <c r="CC95" s="15">
        <f t="shared" ca="1" si="77"/>
        <v>4.8323248687784046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120.80812171946012</v>
      </c>
      <c r="CH95" s="127">
        <f t="shared" ca="1" si="58"/>
        <v>4.6350888445566563</v>
      </c>
      <c r="CI95" s="127">
        <f t="shared" ca="1" si="84"/>
        <v>103.03707187155682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124.33723938124062</v>
      </c>
      <c r="AY96" s="15">
        <f t="shared" ca="1" si="61"/>
        <v>4.8229975464171471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125.39793620684583</v>
      </c>
      <c r="BD96" s="127">
        <f t="shared" ca="1" si="55"/>
        <v>4.6624908750402403</v>
      </c>
      <c r="BE96" s="127">
        <f t="shared" ca="1" si="81"/>
        <v>105.89953641665663</v>
      </c>
      <c r="BG96" s="121">
        <f t="shared" si="65"/>
        <v>45047</v>
      </c>
      <c r="BH96" s="73">
        <f t="shared" ca="1" si="66"/>
        <v>123.15760068061847</v>
      </c>
      <c r="BI96" s="15">
        <f t="shared" ca="1" si="67"/>
        <v>4.8134648415464527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125.15008588020777</v>
      </c>
      <c r="BN96" s="127">
        <f t="shared" ca="1" si="56"/>
        <v>4.6697818340240236</v>
      </c>
      <c r="BO96" s="127">
        <f t="shared" ca="1" si="82"/>
        <v>106.67446715436778</v>
      </c>
      <c r="BQ96" s="121">
        <f t="shared" si="71"/>
        <v>45047</v>
      </c>
      <c r="BR96" s="73">
        <f t="shared" ca="1" si="85"/>
        <v>123.15760068061847</v>
      </c>
      <c r="BS96" s="15">
        <f t="shared" ca="1" si="72"/>
        <v>4.8134648415464527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125.15008588020777</v>
      </c>
      <c r="BX96" s="127">
        <f t="shared" ca="1" si="57"/>
        <v>4.6769036764093874</v>
      </c>
      <c r="BY96" s="127">
        <f t="shared" ca="1" si="83"/>
        <v>107.43689762823887</v>
      </c>
      <c r="CA96" s="121">
        <f t="shared" si="76"/>
        <v>45047</v>
      </c>
      <c r="CB96" s="73">
        <f t="shared" ca="1" si="86"/>
        <v>123.15760068061847</v>
      </c>
      <c r="CC96" s="15">
        <f t="shared" ca="1" si="77"/>
        <v>4.8134648415464527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125.15008588020777</v>
      </c>
      <c r="CH96" s="127">
        <f t="shared" ca="1" si="58"/>
        <v>4.6350888445566563</v>
      </c>
      <c r="CI96" s="127">
        <f t="shared" ca="1" si="84"/>
        <v>103.03707187155682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126.52959469531471</v>
      </c>
      <c r="AY97" s="15">
        <f t="shared" ca="1" si="61"/>
        <v>4.840476230966094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130.69285823608453</v>
      </c>
      <c r="BD97" s="127">
        <f t="shared" ca="1" si="55"/>
        <v>4.6624908750402403</v>
      </c>
      <c r="BE97" s="127">
        <f t="shared" ca="1" si="81"/>
        <v>105.89953641665663</v>
      </c>
      <c r="BG97" s="121">
        <f t="shared" si="65"/>
        <v>45078</v>
      </c>
      <c r="BH97" s="73">
        <f t="shared" ca="1" si="66"/>
        <v>124.63249091512523</v>
      </c>
      <c r="BI97" s="15">
        <f t="shared" ca="1" si="67"/>
        <v>4.8253693341195438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130.28497202122767</v>
      </c>
      <c r="BN97" s="127">
        <f t="shared" ca="1" si="56"/>
        <v>4.6697818340240236</v>
      </c>
      <c r="BO97" s="127">
        <f t="shared" ca="1" si="82"/>
        <v>106.67446715436778</v>
      </c>
      <c r="BQ97" s="121">
        <f t="shared" si="71"/>
        <v>45078</v>
      </c>
      <c r="BR97" s="73">
        <f t="shared" ca="1" si="85"/>
        <v>124.63249091512523</v>
      </c>
      <c r="BS97" s="15">
        <f t="shared" ca="1" si="72"/>
        <v>4.8253693341195438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130.28497202122767</v>
      </c>
      <c r="BX97" s="127">
        <f t="shared" ca="1" si="57"/>
        <v>4.6769036764093874</v>
      </c>
      <c r="BY97" s="127">
        <f t="shared" ca="1" si="83"/>
        <v>107.43689762823887</v>
      </c>
      <c r="CA97" s="121">
        <f t="shared" si="76"/>
        <v>45078</v>
      </c>
      <c r="CB97" s="73">
        <f t="shared" ca="1" si="86"/>
        <v>124.63249091512523</v>
      </c>
      <c r="CC97" s="15">
        <f t="shared" ca="1" si="77"/>
        <v>4.8253693341195438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130.28497202122767</v>
      </c>
      <c r="CH97" s="127">
        <f t="shared" ca="1" si="58"/>
        <v>4.6350888445566563</v>
      </c>
      <c r="CI97" s="127">
        <f t="shared" ca="1" si="84"/>
        <v>103.03707187155682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123.03063866882034</v>
      </c>
      <c r="AY98" s="15">
        <f t="shared" ca="1" si="61"/>
        <v>4.8124334192219003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134.74813573821319</v>
      </c>
      <c r="BD98" s="127">
        <f t="shared" ca="1" si="55"/>
        <v>4.6624908750402403</v>
      </c>
      <c r="BE98" s="127">
        <f t="shared" ca="1" si="81"/>
        <v>105.89953641665663</v>
      </c>
      <c r="BG98" s="121">
        <f t="shared" si="65"/>
        <v>45108</v>
      </c>
      <c r="BH98" s="73">
        <f t="shared" ca="1" si="66"/>
        <v>127.85148797899774</v>
      </c>
      <c r="BI98" s="15">
        <f t="shared" ca="1" si="67"/>
        <v>4.8508693401442269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135.82434152403835</v>
      </c>
      <c r="BN98" s="127">
        <f t="shared" ca="1" si="56"/>
        <v>4.6697818340240236</v>
      </c>
      <c r="BO98" s="127">
        <f t="shared" ca="1" si="82"/>
        <v>106.67446715436778</v>
      </c>
      <c r="BQ98" s="121">
        <f t="shared" si="71"/>
        <v>45108</v>
      </c>
      <c r="BR98" s="73">
        <f t="shared" ca="1" si="85"/>
        <v>127.85148797899774</v>
      </c>
      <c r="BS98" s="15">
        <f t="shared" ca="1" si="72"/>
        <v>4.8508693401442269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135.82434152403835</v>
      </c>
      <c r="BX98" s="127">
        <f t="shared" ca="1" si="57"/>
        <v>4.6769036764093874</v>
      </c>
      <c r="BY98" s="127">
        <f t="shared" ca="1" si="83"/>
        <v>107.43689762823887</v>
      </c>
      <c r="CA98" s="121">
        <f t="shared" si="76"/>
        <v>45108</v>
      </c>
      <c r="CB98" s="73">
        <f t="shared" ca="1" si="86"/>
        <v>127.85148797899774</v>
      </c>
      <c r="CC98" s="15">
        <f t="shared" ca="1" si="77"/>
        <v>4.8508693401442269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135.82434152403835</v>
      </c>
      <c r="CH98" s="127">
        <f t="shared" ca="1" si="58"/>
        <v>4.6350888445566563</v>
      </c>
      <c r="CI98" s="127">
        <f t="shared" ca="1" si="84"/>
        <v>103.03707187155682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133.99423057285816</v>
      </c>
      <c r="AY99" s="15">
        <f t="shared" ca="1" si="61"/>
        <v>4.897796743597568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142.03610556432946</v>
      </c>
      <c r="BD99" s="127">
        <f t="shared" ca="1" si="55"/>
        <v>4.6624908750402403</v>
      </c>
      <c r="BE99" s="127">
        <f t="shared" ca="1" si="81"/>
        <v>105.89953641665663</v>
      </c>
      <c r="BG99" s="121">
        <f t="shared" si="65"/>
        <v>45139</v>
      </c>
      <c r="BH99" s="73">
        <f t="shared" ca="1" si="66"/>
        <v>128.77473881459727</v>
      </c>
      <c r="BI99" s="15">
        <f t="shared" ca="1" si="67"/>
        <v>4.8580646672189358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140.88387534934913</v>
      </c>
      <c r="BN99" s="127">
        <f t="shared" ca="1" si="56"/>
        <v>4.6697818340240236</v>
      </c>
      <c r="BO99" s="127">
        <f t="shared" ca="1" si="82"/>
        <v>106.67446715436778</v>
      </c>
      <c r="BQ99" s="121">
        <f t="shared" si="71"/>
        <v>45139</v>
      </c>
      <c r="BR99" s="73">
        <f t="shared" ca="1" si="85"/>
        <v>128.77473881459727</v>
      </c>
      <c r="BS99" s="15">
        <f t="shared" ca="1" si="72"/>
        <v>4.8580646672189358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140.88387534934913</v>
      </c>
      <c r="BX99" s="127">
        <f t="shared" ca="1" si="57"/>
        <v>4.6769036764093874</v>
      </c>
      <c r="BY99" s="127">
        <f t="shared" ca="1" si="83"/>
        <v>107.43689762823887</v>
      </c>
      <c r="CA99" s="121">
        <f t="shared" si="76"/>
        <v>45139</v>
      </c>
      <c r="CB99" s="73">
        <f t="shared" ca="1" si="86"/>
        <v>128.77473881459727</v>
      </c>
      <c r="CC99" s="15">
        <f t="shared" ca="1" si="77"/>
        <v>4.8580646672189358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140.88387534934913</v>
      </c>
      <c r="CH99" s="127">
        <f t="shared" ca="1" si="58"/>
        <v>4.6350888445566563</v>
      </c>
      <c r="CI99" s="127">
        <f t="shared" ca="1" si="84"/>
        <v>103.03707187155682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129.29934720211332</v>
      </c>
      <c r="AY100" s="15">
        <f t="shared" ca="1" si="61"/>
        <v>4.8621302370575137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145.86390711172541</v>
      </c>
      <c r="BD100" s="127">
        <f t="shared" ca="1" si="55"/>
        <v>4.6624908750402403</v>
      </c>
      <c r="BE100" s="127">
        <f t="shared" ca="1" si="81"/>
        <v>105.89953641665663</v>
      </c>
      <c r="BG100" s="121">
        <f t="shared" si="65"/>
        <v>45170</v>
      </c>
      <c r="BH100" s="73">
        <f t="shared" ca="1" si="66"/>
        <v>137.47054643107666</v>
      </c>
      <c r="BI100" s="15">
        <f t="shared" ca="1" si="67"/>
        <v>4.9234096863868757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147.70229059160627</v>
      </c>
      <c r="BN100" s="127">
        <f t="shared" ca="1" si="56"/>
        <v>4.6697818340240236</v>
      </c>
      <c r="BO100" s="127">
        <f t="shared" ca="1" si="82"/>
        <v>106.67446715436778</v>
      </c>
      <c r="BQ100" s="121">
        <f t="shared" si="71"/>
        <v>45170</v>
      </c>
      <c r="BR100" s="73">
        <f t="shared" ca="1" si="85"/>
        <v>137.47054643107666</v>
      </c>
      <c r="BS100" s="15">
        <f t="shared" ca="1" si="72"/>
        <v>4.9234096863868757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147.70229059160627</v>
      </c>
      <c r="BX100" s="127">
        <f t="shared" ca="1" si="57"/>
        <v>4.6769036764093874</v>
      </c>
      <c r="BY100" s="127">
        <f t="shared" ca="1" si="83"/>
        <v>107.43689762823887</v>
      </c>
      <c r="CA100" s="121">
        <f t="shared" si="76"/>
        <v>45170</v>
      </c>
      <c r="CB100" s="73">
        <f t="shared" ca="1" si="86"/>
        <v>137.47054643107666</v>
      </c>
      <c r="CC100" s="15">
        <f t="shared" ca="1" si="77"/>
        <v>4.9234096863868757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147.70229059160627</v>
      </c>
      <c r="CH100" s="127">
        <f t="shared" ca="1" si="58"/>
        <v>4.6350888445566563</v>
      </c>
      <c r="CI100" s="127">
        <f t="shared" ca="1" si="84"/>
        <v>103.03707187155682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149.11806151825849</v>
      </c>
      <c r="AY101" s="15">
        <f t="shared" ca="1" si="61"/>
        <v>5.0047383513775889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155.14688889270525</v>
      </c>
      <c r="BD101" s="127">
        <f t="shared" ca="1" si="55"/>
        <v>4.6624908750402403</v>
      </c>
      <c r="BE101" s="127">
        <f t="shared" ca="1" si="81"/>
        <v>105.89953641665663</v>
      </c>
      <c r="BG101" s="121">
        <f t="shared" si="65"/>
        <v>45200</v>
      </c>
      <c r="BH101" s="73">
        <f t="shared" ca="1" si="66"/>
        <v>140.65735093536958</v>
      </c>
      <c r="BI101" s="15">
        <f t="shared" ca="1" si="67"/>
        <v>4.9463267975969503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153.33613072550546</v>
      </c>
      <c r="BN101" s="127">
        <f t="shared" ca="1" si="56"/>
        <v>4.6697818340240236</v>
      </c>
      <c r="BO101" s="127">
        <f t="shared" ca="1" si="82"/>
        <v>106.67446715436778</v>
      </c>
      <c r="BQ101" s="121">
        <f t="shared" si="71"/>
        <v>45200</v>
      </c>
      <c r="BR101" s="73">
        <f t="shared" ca="1" si="85"/>
        <v>140.65735093536958</v>
      </c>
      <c r="BS101" s="15">
        <f t="shared" ca="1" si="72"/>
        <v>4.9463267975969503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153.33613072550546</v>
      </c>
      <c r="BX101" s="127">
        <f t="shared" ca="1" si="57"/>
        <v>4.6769036764093874</v>
      </c>
      <c r="BY101" s="127">
        <f t="shared" ca="1" si="83"/>
        <v>107.43689762823887</v>
      </c>
      <c r="CA101" s="121">
        <f t="shared" si="76"/>
        <v>45200</v>
      </c>
      <c r="CB101" s="73">
        <f t="shared" ca="1" si="86"/>
        <v>140.65735093536958</v>
      </c>
      <c r="CC101" s="15">
        <f t="shared" ca="1" si="77"/>
        <v>4.9463267975969503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153.33613072550546</v>
      </c>
      <c r="CH101" s="127">
        <f t="shared" ca="1" si="58"/>
        <v>4.6350888445566563</v>
      </c>
      <c r="CI101" s="127">
        <f t="shared" ca="1" si="84"/>
        <v>103.03707187155682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143.55464408573698</v>
      </c>
      <c r="AY102" s="15">
        <f t="shared" ca="1" si="61"/>
        <v>4.9667157577382088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158.93490424762268</v>
      </c>
      <c r="BD102" s="127">
        <f t="shared" ca="1" si="55"/>
        <v>4.6624908750402403</v>
      </c>
      <c r="BE102" s="127">
        <f t="shared" ca="1" si="81"/>
        <v>105.89953641665663</v>
      </c>
      <c r="BG102" s="121">
        <f t="shared" si="65"/>
        <v>45231</v>
      </c>
      <c r="BH102" s="73">
        <f t="shared" ca="1" si="66"/>
        <v>141.75548215722213</v>
      </c>
      <c r="BI102" s="15">
        <f t="shared" ca="1" si="67"/>
        <v>4.9541036166905004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158.53131573409601</v>
      </c>
      <c r="BN102" s="127">
        <f t="shared" ca="1" si="56"/>
        <v>4.6697818340240236</v>
      </c>
      <c r="BO102" s="127">
        <f t="shared" ca="1" si="82"/>
        <v>106.67446715436778</v>
      </c>
      <c r="BQ102" s="121">
        <f t="shared" si="71"/>
        <v>45231</v>
      </c>
      <c r="BR102" s="73">
        <f t="shared" ca="1" si="85"/>
        <v>141.75548215722213</v>
      </c>
      <c r="BS102" s="15">
        <f t="shared" ca="1" si="72"/>
        <v>4.9541036166905004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158.53131573409601</v>
      </c>
      <c r="BX102" s="127">
        <f t="shared" ca="1" si="57"/>
        <v>4.6769036764093874</v>
      </c>
      <c r="BY102" s="127">
        <f t="shared" ca="1" si="83"/>
        <v>107.43689762823887</v>
      </c>
      <c r="CA102" s="121">
        <f t="shared" si="76"/>
        <v>45231</v>
      </c>
      <c r="CB102" s="73">
        <f t="shared" ca="1" si="86"/>
        <v>141.75548215722213</v>
      </c>
      <c r="CC102" s="15">
        <f t="shared" ca="1" si="77"/>
        <v>4.9541036166905004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158.53131573409601</v>
      </c>
      <c r="CH102" s="127">
        <f t="shared" ca="1" si="58"/>
        <v>4.6350888445566563</v>
      </c>
      <c r="CI102" s="127">
        <f t="shared" ca="1" si="84"/>
        <v>103.03707187155682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132.5937408676709</v>
      </c>
      <c r="AY103" s="15">
        <f t="shared" ca="1" si="61"/>
        <v>4.8872898735280899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161.28056582642697</v>
      </c>
      <c r="BD103" s="127">
        <f t="shared" ca="1" si="55"/>
        <v>4.6624908750402403</v>
      </c>
      <c r="BE103" s="127">
        <f t="shared" ca="1" si="81"/>
        <v>105.89953641665663</v>
      </c>
      <c r="BG103" s="121">
        <f t="shared" si="65"/>
        <v>45261</v>
      </c>
      <c r="BH103" s="73">
        <f t="shared" ca="1" si="66"/>
        <v>134.38598325654885</v>
      </c>
      <c r="BI103" s="15">
        <f t="shared" ca="1" si="67"/>
        <v>4.9007161314044225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161.72363233634593</v>
      </c>
      <c r="BN103" s="127">
        <f t="shared" ca="1" si="56"/>
        <v>4.6697818340240236</v>
      </c>
      <c r="BO103" s="127">
        <f t="shared" ca="1" si="82"/>
        <v>106.67446715436778</v>
      </c>
      <c r="BQ103" s="121">
        <f t="shared" si="71"/>
        <v>45261</v>
      </c>
      <c r="BR103" s="73">
        <f t="shared" ca="1" si="85"/>
        <v>134.38598325654885</v>
      </c>
      <c r="BS103" s="15">
        <f t="shared" ca="1" si="72"/>
        <v>4.9007161314044225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161.72363233634593</v>
      </c>
      <c r="BX103" s="127">
        <f t="shared" ca="1" si="57"/>
        <v>4.6769036764093874</v>
      </c>
      <c r="BY103" s="127">
        <f t="shared" ca="1" si="83"/>
        <v>107.43689762823887</v>
      </c>
      <c r="CA103" s="121">
        <f t="shared" si="76"/>
        <v>45261</v>
      </c>
      <c r="CB103" s="73">
        <f t="shared" ca="1" si="86"/>
        <v>134.38598325654885</v>
      </c>
      <c r="CC103" s="15">
        <f t="shared" ca="1" si="77"/>
        <v>4.9007161314044225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161.72363233634593</v>
      </c>
      <c r="CH103" s="127">
        <f t="shared" ca="1" si="58"/>
        <v>4.6350888445566563</v>
      </c>
      <c r="CI103" s="127">
        <f t="shared" ca="1" si="84"/>
        <v>103.03707187155682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127.00956481623867</v>
      </c>
      <c r="AY104" s="15">
        <f t="shared" ca="1" si="61"/>
        <v>4.8442623971363616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164.7049215026363</v>
      </c>
      <c r="BD104" s="127">
        <f t="shared" ca="1" si="55"/>
        <v>4.6624908750402403</v>
      </c>
      <c r="BE104" s="127">
        <f t="shared" ca="1" si="81"/>
        <v>105.89953641665663</v>
      </c>
      <c r="BG104" s="121">
        <f t="shared" si="65"/>
        <v>45292</v>
      </c>
      <c r="BH104" s="73">
        <f t="shared" ca="1" si="66"/>
        <v>126.46217610894145</v>
      </c>
      <c r="BI104" s="15">
        <f t="shared" ca="1" si="67"/>
        <v>4.8399432603658656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164.55807085243944</v>
      </c>
      <c r="BN104" s="127">
        <f t="shared" ca="1" si="56"/>
        <v>4.6697818340240236</v>
      </c>
      <c r="BO104" s="127">
        <f t="shared" ca="1" si="82"/>
        <v>106.67446715436778</v>
      </c>
      <c r="BQ104" s="121">
        <f t="shared" si="71"/>
        <v>45292</v>
      </c>
      <c r="BR104" s="73">
        <f t="shared" ca="1" si="85"/>
        <v>126.46217610894145</v>
      </c>
      <c r="BS104" s="15">
        <f t="shared" ca="1" si="72"/>
        <v>4.8399432603658656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164.55807085243944</v>
      </c>
      <c r="BX104" s="127">
        <f t="shared" ca="1" si="57"/>
        <v>4.6769036764093874</v>
      </c>
      <c r="BY104" s="127">
        <f t="shared" ca="1" si="83"/>
        <v>107.43689762823887</v>
      </c>
      <c r="CA104" s="121">
        <f t="shared" si="76"/>
        <v>45292</v>
      </c>
      <c r="CB104" s="73">
        <f t="shared" ca="1" si="86"/>
        <v>126.46217610894145</v>
      </c>
      <c r="CC104" s="15">
        <f t="shared" ca="1" si="77"/>
        <v>4.8399432603658656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164.55807085243944</v>
      </c>
      <c r="CH104" s="127">
        <f t="shared" ca="1" si="58"/>
        <v>4.6350888445566563</v>
      </c>
      <c r="CI104" s="127">
        <f t="shared" ca="1" si="84"/>
        <v>103.03707187155682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119.78322264291478</v>
      </c>
      <c r="AY105" s="15">
        <f t="shared" ca="1" si="61"/>
        <v>4.7856836311572666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167.49892709050434</v>
      </c>
      <c r="BD105" s="127">
        <f t="shared" ca="1" si="55"/>
        <v>4.6624908750402403</v>
      </c>
      <c r="BE105" s="127">
        <f t="shared" ca="1" si="81"/>
        <v>105.89953641665663</v>
      </c>
      <c r="BG105" s="121">
        <f t="shared" si="65"/>
        <v>45323</v>
      </c>
      <c r="BH105" s="73">
        <f t="shared" ca="1" si="66"/>
        <v>128.8575956111172</v>
      </c>
      <c r="BI105" s="15">
        <f t="shared" ca="1" si="67"/>
        <v>4.8587078846129117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170.05477596145192</v>
      </c>
      <c r="BN105" s="127">
        <f t="shared" ca="1" si="56"/>
        <v>4.6697818340240236</v>
      </c>
      <c r="BO105" s="127">
        <f t="shared" ca="1" si="82"/>
        <v>106.67446715436778</v>
      </c>
      <c r="BQ105" s="121">
        <f t="shared" si="71"/>
        <v>45323</v>
      </c>
      <c r="BR105" s="73">
        <f t="shared" ca="1" si="85"/>
        <v>128.8575956111172</v>
      </c>
      <c r="BS105" s="15">
        <f t="shared" ca="1" si="72"/>
        <v>4.8587078846129117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170.05477596145192</v>
      </c>
      <c r="BX105" s="127">
        <f t="shared" ca="1" si="57"/>
        <v>4.6769036764093874</v>
      </c>
      <c r="BY105" s="127">
        <f t="shared" ca="1" si="83"/>
        <v>107.43689762823887</v>
      </c>
      <c r="CA105" s="121">
        <f t="shared" si="76"/>
        <v>45323</v>
      </c>
      <c r="CB105" s="73">
        <f t="shared" ca="1" si="86"/>
        <v>128.8575956111172</v>
      </c>
      <c r="CC105" s="15">
        <f t="shared" ca="1" si="77"/>
        <v>4.8587078846129117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170.05477596145192</v>
      </c>
      <c r="CH105" s="127">
        <f t="shared" ca="1" si="58"/>
        <v>4.6350888445566563</v>
      </c>
      <c r="CI105" s="127">
        <f t="shared" ca="1" si="84"/>
        <v>103.03707187155682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139.77999937419818</v>
      </c>
      <c r="AY106" s="15">
        <f t="shared" ca="1" si="61"/>
        <v>4.9400697535719349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177.84251112858965</v>
      </c>
      <c r="BD106" s="127">
        <f t="shared" ca="1" si="55"/>
        <v>4.6624908750402403</v>
      </c>
      <c r="BE106" s="127">
        <f t="shared" ca="1" si="81"/>
        <v>105.89953641665663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4.6697818340240236</v>
      </c>
      <c r="BO106" s="127">
        <f t="shared" ca="1" si="82"/>
        <v>106.67446715436778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4.6769036764093874</v>
      </c>
      <c r="BY106" s="127">
        <f t="shared" ca="1" si="83"/>
        <v>107.43689762823887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4.6350888445566563</v>
      </c>
      <c r="CI106" s="127">
        <f t="shared" ca="1" si="84"/>
        <v>103.03707187155682</v>
      </c>
    </row>
    <row r="107" spans="45:87" x14ac:dyDescent="0.2">
      <c r="AW107" s="121" t="s">
        <v>86</v>
      </c>
      <c r="AX107" s="73">
        <f t="shared" ref="AX107:BC107" ca="1" si="87">SUM(AX71:AX106)</f>
        <v>4350.1437360993914</v>
      </c>
      <c r="AY107" s="15">
        <f t="shared" ca="1" si="87"/>
        <v>172.44827184554399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3217.1181978164532</v>
      </c>
      <c r="BD107" s="66"/>
      <c r="BE107" s="120"/>
      <c r="BG107" s="121" t="s">
        <v>86</v>
      </c>
      <c r="BH107" s="73">
        <f t="shared" ref="BH107:BM107" ca="1" si="88">SUM(BH71:BH106)</f>
        <v>4116.54119895649</v>
      </c>
      <c r="BI107" s="15">
        <f t="shared" ca="1" si="88"/>
        <v>162.98110492174112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3037.0461327751273</v>
      </c>
      <c r="BN107" s="66"/>
      <c r="BO107" s="120"/>
      <c r="BQ107" s="121" t="s">
        <v>86</v>
      </c>
      <c r="BR107" s="73">
        <f t="shared" ref="BR107:BW107" ca="1" si="89">SUM(BR71:BR106)</f>
        <v>2888.1578901682888</v>
      </c>
      <c r="BS107" s="15">
        <f t="shared" ca="1" si="89"/>
        <v>111.1203472030621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2673.399531057175</v>
      </c>
      <c r="BX107" s="66"/>
      <c r="BY107" s="120"/>
      <c r="CA107" s="121" t="s">
        <v>86</v>
      </c>
      <c r="CB107" s="73">
        <f t="shared" ref="CB107:CG107" ca="1" si="90">SUM(CB71:CB106)</f>
        <v>2167.638612121857</v>
      </c>
      <c r="CC107" s="15">
        <f t="shared" ca="1" si="90"/>
        <v>82.394475835394914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2227.8490390916022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4.7902297734873329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89.364394383790369</v>
      </c>
      <c r="BG108" s="7" t="s">
        <v>176</v>
      </c>
      <c r="BH108" s="7"/>
      <c r="BI108" s="15">
        <f ca="1">+BI107/BJ107</f>
        <v>4.7935619094629738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89.324886258091979</v>
      </c>
      <c r="BQ108" s="7" t="s">
        <v>176</v>
      </c>
      <c r="BR108" s="7"/>
      <c r="BS108" s="15">
        <f ca="1">+BS107/BT107</f>
        <v>4.8313194436113953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116.23476221987717</v>
      </c>
      <c r="CA108" s="7" t="s">
        <v>176</v>
      </c>
      <c r="CB108" s="7"/>
      <c r="CC108" s="15">
        <f ca="1">+CC107/CD107</f>
        <v>4.8467338726702893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131.04994347597659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57.251116701600594</v>
      </c>
      <c r="AW111" t="s">
        <v>254</v>
      </c>
      <c r="AX111" s="66">
        <f ca="1">AY107</f>
        <v>172.44827184554399</v>
      </c>
      <c r="BG111" t="s">
        <v>254</v>
      </c>
      <c r="BH111" s="66">
        <f ca="1">BI107</f>
        <v>162.98110492174112</v>
      </c>
      <c r="BQ111" t="s">
        <v>254</v>
      </c>
      <c r="BR111" s="66">
        <f ca="1">BS107</f>
        <v>111.1203472030621</v>
      </c>
      <c r="CA111" t="s">
        <v>254</v>
      </c>
      <c r="CB111" s="66">
        <f ca="1">CC107</f>
        <v>82.394475835394914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29.330127770082051</v>
      </c>
      <c r="AW113" s="1" t="s">
        <v>255</v>
      </c>
      <c r="AX113" s="59">
        <f ca="1">+BC108</f>
        <v>89.364394383790369</v>
      </c>
      <c r="AZ113" t="s">
        <v>244</v>
      </c>
      <c r="BG113" s="1" t="s">
        <v>255</v>
      </c>
      <c r="BH113" s="59">
        <f ca="1">+BM108</f>
        <v>89.324886258091979</v>
      </c>
      <c r="BJ113" t="s">
        <v>244</v>
      </c>
      <c r="BQ113" s="1" t="s">
        <v>255</v>
      </c>
      <c r="BR113" s="59">
        <f ca="1">+BW108</f>
        <v>116.23476221987717</v>
      </c>
      <c r="BT113" t="s">
        <v>244</v>
      </c>
      <c r="CA113" s="1" t="s">
        <v>255</v>
      </c>
      <c r="CB113" s="59">
        <f ca="1">+CG108</f>
        <v>131.04994347597659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1.5903087972666832</v>
      </c>
      <c r="AW115" s="1" t="s">
        <v>256</v>
      </c>
      <c r="AX115" s="59">
        <f ca="1">AX111/AX110</f>
        <v>4.7902297734873329</v>
      </c>
      <c r="BG115" s="1" t="s">
        <v>256</v>
      </c>
      <c r="BH115" s="59">
        <f ca="1">BH111/BH110</f>
        <v>4.7935619094629738</v>
      </c>
      <c r="BQ115" s="1" t="s">
        <v>256</v>
      </c>
      <c r="BR115" s="59">
        <f ca="1">BR111/BR110</f>
        <v>4.8313194436113953</v>
      </c>
      <c r="CA115" s="1" t="s">
        <v>256</v>
      </c>
      <c r="CB115" s="59">
        <f ca="1">CB111/CB110</f>
        <v>4.8467338726702893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-8.3939749206106418E-4</v>
      </c>
      <c r="AW118" s="28" t="s">
        <v>247</v>
      </c>
      <c r="AX118" s="66">
        <f ca="1">(AX113-AX115*AX114)/(AX116-AX117)</f>
        <v>6.9048053214644609E-3</v>
      </c>
      <c r="BG118" s="28" t="s">
        <v>247</v>
      </c>
      <c r="BH118" s="66">
        <f ca="1">(BH113-BH115*BH114)/(BH116-BH117)</f>
        <v>6.690814888591896E-3</v>
      </c>
      <c r="BQ118" s="28" t="s">
        <v>247</v>
      </c>
      <c r="BR118" s="66">
        <f ca="1">(BR113-BR115*BR114)/(BR116-BR117)</f>
        <v>6.4339903000836659E-3</v>
      </c>
      <c r="CA118" s="28" t="s">
        <v>247</v>
      </c>
      <c r="CB118" s="66">
        <f ca="1">(CB113-CB115*CB114)/(CB116-CB117)</f>
        <v>7.8387047449493732E-3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1.6058376508698129</v>
      </c>
      <c r="AW119" s="28" t="s">
        <v>248</v>
      </c>
      <c r="AX119" s="66">
        <f ca="1">AX115-AX118*AX114</f>
        <v>4.6624908750402403</v>
      </c>
      <c r="BG119" s="28" t="s">
        <v>248</v>
      </c>
      <c r="BH119" s="66">
        <f ca="1">BH115-BH118*BH114</f>
        <v>4.6697818340240236</v>
      </c>
      <c r="BQ119" s="28" t="s">
        <v>248</v>
      </c>
      <c r="BR119" s="66">
        <f ca="1">BR115-BR118*BR114</f>
        <v>4.6769036764093874</v>
      </c>
      <c r="CA119" s="28" t="s">
        <v>248</v>
      </c>
      <c r="CB119" s="66">
        <f ca="1">CB115-CB118*CB114</f>
        <v>4.6350888445566563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-1.0998226255106491E-2</v>
      </c>
      <c r="AW120" t="s">
        <v>249</v>
      </c>
      <c r="AX120" s="126">
        <f ca="1">EXP(12*AX118+AX119)/EXP(AX119)-1</f>
        <v>8.6387165384540499E-2</v>
      </c>
      <c r="BG120" t="s">
        <v>249</v>
      </c>
      <c r="BH120" s="126">
        <f ca="1">EXP(12*BH118+BH119)/EXP(BH119)-1</f>
        <v>8.3601026640293341E-2</v>
      </c>
      <c r="BQ120" t="s">
        <v>249</v>
      </c>
      <c r="BR120" s="126">
        <f ca="1">EXP(12*BR118+BR119)/EXP(BR119)-1</f>
        <v>8.0266622767622753E-2</v>
      </c>
      <c r="CA120" t="s">
        <v>249</v>
      </c>
      <c r="CB120" s="126">
        <f ca="1">EXP(12*CB118+CB119)/EXP(CB119)-1</f>
        <v>9.8630557998275803E-2</v>
      </c>
    </row>
    <row r="121" spans="45:82" x14ac:dyDescent="0.2">
      <c r="AS121" t="s">
        <v>250</v>
      </c>
      <c r="AT121" t="s">
        <v>530</v>
      </c>
      <c r="AU121">
        <f t="shared" ca="1" si="91"/>
        <v>-1.0999999999999996</v>
      </c>
      <c r="AW121" t="s">
        <v>250</v>
      </c>
      <c r="AX121" t="str">
        <f ca="1">FIXED(AX120*100,1,TRUE)</f>
        <v>8.6</v>
      </c>
      <c r="BG121" t="s">
        <v>250</v>
      </c>
      <c r="BH121" t="str">
        <f ca="1">FIXED(BH120*100,1,TRUE)</f>
        <v>8.4</v>
      </c>
      <c r="BQ121" t="s">
        <v>250</v>
      </c>
      <c r="BR121" t="str">
        <f ca="1">FIXED(BR120*100,1,TRUE)</f>
        <v>8.0</v>
      </c>
      <c r="CA121" t="s">
        <v>250</v>
      </c>
      <c r="CB121" t="str">
        <f ca="1">FIXED(CB120*100,1,TRUE)</f>
        <v>9.9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topLeftCell="A2" zoomScale="90" zoomScaleNormal="90" workbookViewId="0"/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Allied Pacific (APC Medicare)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Allied Pacific (APC Medicare)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99.675216059479581</v>
      </c>
      <c r="AW2" s="120">
        <f ca="1">MAX(BA9:BA44)</f>
        <v>149.11806151825849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94</v>
      </c>
      <c r="AW3" s="120">
        <f ca="1">INT(AW2+0.5)+INT(MAX(2,0.05*AW2))</f>
        <v>156</v>
      </c>
      <c r="AX3" s="120"/>
      <c r="AZ3" s="120">
        <f>INT(AZ2)+INT(MAX(2,0.05*AZ2))</f>
        <v>2</v>
      </c>
      <c r="BB3" s="120">
        <f ca="1">+INT(MAX(2,0.08*AW2))</f>
        <v>11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100.89458698895866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100.89458698895866</v>
      </c>
      <c r="BA9" s="73">
        <f>IF(AT9=0,0,MAX(AT9:AW9))</f>
        <v>100.89458698895866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99.675216059479581</v>
      </c>
      <c r="AU10" s="73">
        <f ca="1">IF(AT10=0,0,LeastSq!AP8)</f>
        <v>107.81544144598891</v>
      </c>
      <c r="AV10" s="73"/>
      <c r="AW10" s="73"/>
      <c r="AX10" s="586"/>
      <c r="AY10" s="73">
        <f>Transport!$G21</f>
        <v>0</v>
      </c>
      <c r="AZ10" s="73">
        <f t="shared" ref="AZ10:AZ44" si="1">IF(AT10=0,MAX(AT10:AT36),AT10)</f>
        <v>99.675216059479581</v>
      </c>
      <c r="BA10" s="73">
        <f t="shared" ref="BA10:BA44" ca="1" si="2">IF(AT10=0,0,MAX(AT10:AW10))</f>
        <v>107.81544144598891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107.90997929051117</v>
      </c>
      <c r="AU11" s="73">
        <f ca="1">IF(AT11=0,0,LeastSq!AP9)</f>
        <v>108.5671440804085</v>
      </c>
      <c r="AV11" s="73"/>
      <c r="AW11" s="73"/>
      <c r="AX11" s="586"/>
      <c r="AY11" s="73">
        <f>Transport!$G22</f>
        <v>1.6117982970624964E-3</v>
      </c>
      <c r="AZ11" s="73">
        <f t="shared" si="1"/>
        <v>107.90997929051117</v>
      </c>
      <c r="BA11" s="73">
        <f t="shared" ca="1" si="2"/>
        <v>108.5671440804085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108.29673471066521</v>
      </c>
      <c r="AU12" s="73">
        <f ca="1">IF(AT12=0,0,LeastSq!AP10)</f>
        <v>109.32408767885906</v>
      </c>
      <c r="AV12" s="73"/>
      <c r="AW12" s="73"/>
      <c r="AX12" s="586"/>
      <c r="AY12" s="73">
        <f>Transport!$G23</f>
        <v>8.4161657252195578E-3</v>
      </c>
      <c r="AZ12" s="73">
        <f t="shared" si="1"/>
        <v>108.29673471066521</v>
      </c>
      <c r="BA12" s="73">
        <f t="shared" ca="1" si="2"/>
        <v>109.32408767885906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114.76950676537243</v>
      </c>
      <c r="AU13" s="73">
        <f ca="1">IF(AT13=0,0,LeastSq!AP11)</f>
        <v>110.08630878199189</v>
      </c>
      <c r="AV13" s="73"/>
      <c r="AW13" s="73"/>
      <c r="AX13" s="586"/>
      <c r="AY13" s="73">
        <f>Transport!$G24</f>
        <v>5.7532233713613844E-2</v>
      </c>
      <c r="AZ13" s="73">
        <f t="shared" si="1"/>
        <v>114.76950676537243</v>
      </c>
      <c r="BA13" s="73">
        <f t="shared" ca="1" si="2"/>
        <v>114.76950676537243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117.72995171430985</v>
      </c>
      <c r="AU14" s="73">
        <f ca="1">IF(AT14=0,0,LeastSq!AP12)</f>
        <v>110.8538441852245</v>
      </c>
      <c r="AV14" s="73"/>
      <c r="AW14" s="73"/>
      <c r="AX14" s="586"/>
      <c r="AY14" s="73">
        <f>Transport!$G25</f>
        <v>9.6148385664823532E-2</v>
      </c>
      <c r="AZ14" s="73">
        <f t="shared" si="1"/>
        <v>117.72995171430985</v>
      </c>
      <c r="BA14" s="73">
        <f t="shared" ca="1" si="2"/>
        <v>117.72995171430985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120.89931746925885</v>
      </c>
      <c r="AU15" s="73">
        <f ca="1">IF(AT15=0,0,LeastSq!AP13)</f>
        <v>111.62673094051665</v>
      </c>
      <c r="AV15" s="73"/>
      <c r="AW15" s="73"/>
      <c r="AX15" s="586"/>
      <c r="AY15" s="73">
        <f>Transport!$G26</f>
        <v>0.12999084635592187</v>
      </c>
      <c r="AZ15" s="73">
        <f t="shared" si="1"/>
        <v>120.89931746925885</v>
      </c>
      <c r="BA15" s="73">
        <f t="shared" ca="1" si="2"/>
        <v>120.89931746925885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115.59056958502657</v>
      </c>
      <c r="AU16" s="73">
        <f ca="1">IF(AT16=0,0,LeastSq!AP14)</f>
        <v>112.40500635815863</v>
      </c>
      <c r="AV16" s="73"/>
      <c r="AW16" s="73"/>
      <c r="AX16" s="586"/>
      <c r="AY16" s="73">
        <f>Transport!$G27</f>
        <v>0.16341785968272479</v>
      </c>
      <c r="AZ16" s="73">
        <f t="shared" si="1"/>
        <v>115.59056958502657</v>
      </c>
      <c r="BA16" s="73">
        <f t="shared" ca="1" si="2"/>
        <v>115.59056958502657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113.25598207637394</v>
      </c>
      <c r="AU17" s="73">
        <f ca="1">IF(AT17=0,0,LeastSq!AP15)</f>
        <v>113.18870800857312</v>
      </c>
      <c r="AV17" s="73"/>
      <c r="AW17" s="73"/>
      <c r="AX17" s="586"/>
      <c r="AY17" s="73">
        <f>Transport!$G28</f>
        <v>0.19542341715603326</v>
      </c>
      <c r="AZ17" s="73">
        <f t="shared" si="1"/>
        <v>113.25598207637394</v>
      </c>
      <c r="BA17" s="73">
        <f t="shared" ca="1" si="2"/>
        <v>113.25598207637394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102.7346430156375</v>
      </c>
      <c r="AU18" s="73">
        <f ca="1">IF(AT18=0,0,LeastSq!AP16)</f>
        <v>113.97787372412803</v>
      </c>
      <c r="AV18" s="73"/>
      <c r="AW18" s="73"/>
      <c r="AX18" s="586"/>
      <c r="AY18" s="73">
        <f>Transport!$G29</f>
        <v>0.17726882616127573</v>
      </c>
      <c r="AZ18" s="73">
        <f t="shared" si="1"/>
        <v>102.7346430156375</v>
      </c>
      <c r="BA18" s="73">
        <f t="shared" ca="1" si="2"/>
        <v>113.97787372412803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106.26468310460019</v>
      </c>
      <c r="AU19" s="73">
        <f ca="1">IF(AT19=0,0,LeastSq!AP17)</f>
        <v>114.77254160096365</v>
      </c>
      <c r="AV19" s="73">
        <f ca="1">IF(AT19=0,0,LeastSq!$AZ17)</f>
        <v>114.05519439180196</v>
      </c>
      <c r="AW19" s="73"/>
      <c r="AX19" s="586"/>
      <c r="AY19" s="73">
        <f>Transport!$G30</f>
        <v>0.18391654807081503</v>
      </c>
      <c r="AZ19" s="73">
        <f t="shared" si="1"/>
        <v>106.26468310460019</v>
      </c>
      <c r="BA19" s="73">
        <f t="shared" ca="1" si="2"/>
        <v>114.77254160096365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124.49229284762997</v>
      </c>
      <c r="AU20" s="73">
        <f ca="1">IF(AT20=0,0,LeastSq!AP18)</f>
        <v>115.57275000083089</v>
      </c>
      <c r="AV20" s="73">
        <f ca="1">IF(AT20=0,0,LeastSq!$AZ18)</f>
        <v>114.89934986556719</v>
      </c>
      <c r="AW20" s="73"/>
      <c r="AX20" s="586"/>
      <c r="AY20" s="73">
        <f>Transport!$G31</f>
        <v>0.23352512273180601</v>
      </c>
      <c r="AZ20" s="73">
        <f t="shared" si="1"/>
        <v>124.49229284762997</v>
      </c>
      <c r="BA20" s="73">
        <f t="shared" ca="1" si="2"/>
        <v>124.49229284762997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113.56621836616137</v>
      </c>
      <c r="AU21" s="73">
        <f ca="1">IF(AT21=0,0,LeastSq!AP19)</f>
        <v>116.37853755294383</v>
      </c>
      <c r="AV21" s="73">
        <f ca="1">IF(AT21=0,0,LeastSq!$AZ19)</f>
        <v>115.74975317808881</v>
      </c>
      <c r="AW21" s="73"/>
      <c r="AX21" s="586"/>
      <c r="AY21" s="73">
        <f>Transport!$G32</f>
        <v>0.3965864344471195</v>
      </c>
      <c r="AZ21" s="73">
        <f t="shared" si="1"/>
        <v>113.56621836616137</v>
      </c>
      <c r="BA21" s="73">
        <f t="shared" ca="1" si="2"/>
        <v>116.37853755294383</v>
      </c>
      <c r="BH21" s="73">
        <f>LeastSq!BB19</f>
        <v>44652</v>
      </c>
      <c r="BI21" s="73">
        <f ca="1">LeastSq!$AZ19</f>
        <v>115.74975317808881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115.66601498146562</v>
      </c>
      <c r="AU22" s="73">
        <f ca="1">IF(AT22=0,0,LeastSq!AP20)</f>
        <v>117.18994315584423</v>
      </c>
      <c r="AV22" s="73">
        <f ca="1">IF(AT22=0,0,LeastSq!$AZ20)</f>
        <v>116.60645057142806</v>
      </c>
      <c r="AW22" s="73"/>
      <c r="AX22" s="586"/>
      <c r="AY22" s="73">
        <f>Transport!$G33</f>
        <v>0.500291394943431</v>
      </c>
      <c r="AZ22" s="73">
        <f t="shared" si="1"/>
        <v>115.66601498146562</v>
      </c>
      <c r="BA22" s="73">
        <f t="shared" ca="1" si="2"/>
        <v>117.18994315584423</v>
      </c>
      <c r="BH22" s="73">
        <f>LeastSq!BB20</f>
        <v>44682</v>
      </c>
      <c r="BI22" s="73">
        <f ca="1">LeastSq!$AZ20</f>
        <v>116.60645057142806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118.30206184091573</v>
      </c>
      <c r="AU23" s="73">
        <f ca="1">IF(AT23=0,0,LeastSq!AP21)</f>
        <v>118.00700597927903</v>
      </c>
      <c r="AV23" s="73">
        <f ca="1">IF(AT23=0,0,LeastSq!$AZ21)</f>
        <v>117.46948862989706</v>
      </c>
      <c r="AW23" s="73"/>
      <c r="AX23" s="586"/>
      <c r="AY23" s="73">
        <f>Transport!$G34</f>
        <v>0.55660393840438149</v>
      </c>
      <c r="AZ23" s="73">
        <f t="shared" si="1"/>
        <v>118.30206184091573</v>
      </c>
      <c r="BA23" s="73">
        <f t="shared" ca="1" si="2"/>
        <v>118.30206184091573</v>
      </c>
      <c r="BH23" s="73">
        <f>LeastSq!BB21</f>
        <v>44713</v>
      </c>
      <c r="BI23" s="73">
        <f ca="1">LeastSq!$AZ21</f>
        <v>117.46948862989706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114.10729288341315</v>
      </c>
      <c r="AU24" s="73">
        <f ca="1">IF(AT24=0,0,LeastSq!AP22)</f>
        <v>118.82976546609187</v>
      </c>
      <c r="AV24" s="73">
        <f ca="1">IF(AT24=0,0,LeastSq!$AZ22)</f>
        <v>118.33891428259201</v>
      </c>
      <c r="AW24" s="73"/>
      <c r="AX24" s="586"/>
      <c r="AY24" s="73">
        <f>Transport!$G35</f>
        <v>0.58579506989904007</v>
      </c>
      <c r="AZ24" s="73">
        <f t="shared" si="1"/>
        <v>114.10729288341315</v>
      </c>
      <c r="BA24" s="73">
        <f t="shared" ca="1" si="2"/>
        <v>118.82976546609187</v>
      </c>
      <c r="BH24" s="73">
        <f>LeastSq!BB22</f>
        <v>44743</v>
      </c>
      <c r="BI24" s="73">
        <f ca="1">LeastSq!$AZ22</f>
        <v>118.33891428259201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129.16391567246009</v>
      </c>
      <c r="AU25" s="73">
        <f ca="1">IF(AT25=0,0,LeastSq!AP23)</f>
        <v>119.65826133412641</v>
      </c>
      <c r="AV25" s="73">
        <f ca="1">IF(AT25=0,0,LeastSq!$AZ23)</f>
        <v>119.2147748059446</v>
      </c>
      <c r="AW25" s="73">
        <f ca="1">IF($AT25=0,0,LeastSq!$BJ23)</f>
        <v>119.66679605529622</v>
      </c>
      <c r="AX25" s="586"/>
      <c r="AY25" s="73">
        <f>Transport!$G36</f>
        <v>0.73637063120689228</v>
      </c>
      <c r="AZ25" s="73">
        <f t="shared" si="1"/>
        <v>129.16391567246009</v>
      </c>
      <c r="BA25" s="73">
        <f t="shared" ca="1" si="2"/>
        <v>129.16391567246009</v>
      </c>
      <c r="BH25" s="73">
        <f>LeastSq!BB23</f>
        <v>44774</v>
      </c>
      <c r="BI25" s="73">
        <f ca="1">LeastSq!$AZ23</f>
        <v>119.2147748059446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125.48836903657812</v>
      </c>
      <c r="AU26" s="73">
        <f ca="1">IF(AT26=0,0,LeastSq!AP24)</f>
        <v>120.49253357814433</v>
      </c>
      <c r="AV26" s="73">
        <f ca="1">IF(AT26=0,0,LeastSq!$AZ24)</f>
        <v>120.09711782629336</v>
      </c>
      <c r="AW26" s="73">
        <f ca="1">IF(AT26=0,0,LeastSq!$BJ24)</f>
        <v>120.50584414736228</v>
      </c>
      <c r="AX26" s="586"/>
      <c r="AY26" s="73">
        <f>Transport!$G37</f>
        <v>0.79081221047262606</v>
      </c>
      <c r="AZ26" s="73">
        <f t="shared" si="1"/>
        <v>125.48836903657812</v>
      </c>
      <c r="BA26" s="73">
        <f t="shared" ca="1" si="2"/>
        <v>125.48836903657812</v>
      </c>
      <c r="BH26" s="73">
        <f>LeastSq!BB24</f>
        <v>44805</v>
      </c>
      <c r="BI26" s="73">
        <f ca="1">LeastSq!$AZ24</f>
        <v>120.09711782629336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127.23851035141863</v>
      </c>
      <c r="AU27" s="73">
        <f ca="1">IF(AT27=0,0,LeastSq!AP25)</f>
        <v>121.3326224717558</v>
      </c>
      <c r="AV27" s="73">
        <f ca="1">IF(AT27=0,0,LeastSq!$AZ25)</f>
        <v>120.98599132247304</v>
      </c>
      <c r="AW27" s="73">
        <f ca="1">IF($AT27=0,0,LeastSq!$BJ25)</f>
        <v>121.35077525563662</v>
      </c>
      <c r="AX27" s="73"/>
      <c r="AY27" s="73">
        <f>Transport!$G38</f>
        <v>0.92816838756890552</v>
      </c>
      <c r="AZ27" s="73">
        <f t="shared" si="1"/>
        <v>127.23851035141863</v>
      </c>
      <c r="BA27" s="73">
        <f t="shared" ca="1" si="2"/>
        <v>127.23851035141863</v>
      </c>
      <c r="BH27" s="73">
        <f>LeastSq!BB25</f>
        <v>44835</v>
      </c>
      <c r="BI27" s="73">
        <f ca="1">LeastSq!$AZ25</f>
        <v>120.98599132247304</v>
      </c>
      <c r="BJ27" s="73">
        <f ca="1">LeastSq!$BJ25</f>
        <v>121.35077525563662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119.53416202431487</v>
      </c>
      <c r="AU28" s="73">
        <f ca="1">IF(AT28=0,0,LeastSq!AP26)</f>
        <v>122.17856856936321</v>
      </c>
      <c r="AV28" s="73">
        <f ca="1">IF(AT28=0,0,LeastSq!$AZ26)</f>
        <v>121.8814436284236</v>
      </c>
      <c r="AW28" s="73">
        <f ca="1">IF(AT28=0,0,LeastSq!$BJ26)</f>
        <v>122.20163062910154</v>
      </c>
      <c r="AX28" s="73"/>
      <c r="AY28" s="73">
        <f>Transport!$G39</f>
        <v>0.96930035995118846</v>
      </c>
      <c r="AZ28" s="73">
        <f t="shared" si="1"/>
        <v>119.53416202431487</v>
      </c>
      <c r="BA28" s="73">
        <f t="shared" ca="1" si="2"/>
        <v>122.20163062910154</v>
      </c>
      <c r="BH28" s="73">
        <f>LeastSq!BB26</f>
        <v>44866</v>
      </c>
      <c r="BI28" s="73">
        <f ca="1">LeastSq!$AZ26</f>
        <v>121.8814436284236</v>
      </c>
      <c r="BJ28" s="73">
        <f ca="1">LeastSq!$BJ26</f>
        <v>122.20163062910154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119.87264833936263</v>
      </c>
      <c r="AU29" s="73">
        <f ca="1">IF(AT29=0,0,LeastSq!AP27)</f>
        <v>123.03041270811974</v>
      </c>
      <c r="AV29" s="73">
        <f ca="1">IF(AT29=0,0,LeastSq!$AZ27)</f>
        <v>122.78352343581848</v>
      </c>
      <c r="AW29" s="73">
        <f ca="1">IF(AT29=0,0,LeastSq!$BJ27)</f>
        <v>123.05845180595763</v>
      </c>
      <c r="AX29" s="73"/>
      <c r="AY29" s="73">
        <f>Transport!$G40</f>
        <v>1.0487485990745231</v>
      </c>
      <c r="AZ29" s="73">
        <f t="shared" si="1"/>
        <v>119.87264833936263</v>
      </c>
      <c r="BA29" s="73">
        <f t="shared" ca="1" si="2"/>
        <v>123.05845180595763</v>
      </c>
      <c r="BH29" s="73">
        <f>LeastSq!BB27</f>
        <v>44896</v>
      </c>
      <c r="BI29" s="73">
        <f ca="1">LeastSq!$AZ27</f>
        <v>122.78352343581848</v>
      </c>
      <c r="BJ29" s="73">
        <f ca="1">LeastSq!$BJ27</f>
        <v>123.05845180595763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116.01377592746509</v>
      </c>
      <c r="AU30" s="73">
        <f ca="1">IF(AT30=0,0,LeastSq!AP28)</f>
        <v>123.88819600989986</v>
      </c>
      <c r="AV30" s="73">
        <f ca="1">IF(AT30=0,0,LeastSq!$AZ28)</f>
        <v>123.69227979671237</v>
      </c>
      <c r="AW30" s="73">
        <f ca="1">IF(AT30=0,0,LeastSq!$BJ28)</f>
        <v>123.92128061565252</v>
      </c>
      <c r="AX30" s="73"/>
      <c r="AY30" s="73">
        <f>Transport!$G41</f>
        <v>1.1683527675516023</v>
      </c>
      <c r="AZ30" s="73">
        <f t="shared" si="1"/>
        <v>116.01377592746509</v>
      </c>
      <c r="BA30" s="73">
        <f t="shared" ca="1" si="2"/>
        <v>123.92128061565252</v>
      </c>
      <c r="BH30" s="73">
        <f>LeastSq!BB28</f>
        <v>44927</v>
      </c>
      <c r="BI30" s="73">
        <f ca="1">LeastSq!$AZ28</f>
        <v>123.69227979671237</v>
      </c>
      <c r="BJ30" s="73">
        <f ca="1">LeastSq!$BJ28</f>
        <v>123.92128061565252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117.47706354236719</v>
      </c>
      <c r="AU31" s="73">
        <f ca="1">IF(AT31=0,0,LeastSq!AP29)</f>
        <v>124.75195988328512</v>
      </c>
      <c r="AV31" s="73">
        <f ca="1">IF(AT31=0,0,LeastSq!$AZ29)</f>
        <v>124.6077621262081</v>
      </c>
      <c r="AW31" s="73">
        <f ca="1">IF(AT31=0,0,LeastSq!$BJ29)</f>
        <v>124.79015918092209</v>
      </c>
      <c r="AX31" s="73">
        <f ca="1">IF($AT31=0,0,LeastSq!$BT29)</f>
        <v>122.34107990088678</v>
      </c>
      <c r="AY31" s="73">
        <f>Transport!$G42</f>
        <v>1.4256621430963481</v>
      </c>
      <c r="AZ31" s="73">
        <f t="shared" si="1"/>
        <v>117.47706354236719</v>
      </c>
      <c r="BA31" s="73">
        <f t="shared" ca="1" si="2"/>
        <v>124.79015918092209</v>
      </c>
      <c r="BH31" s="73">
        <f>LeastSq!BB29</f>
        <v>44958</v>
      </c>
      <c r="BI31" s="73">
        <f ca="1">LeastSq!$AZ29</f>
        <v>124.6077621262081</v>
      </c>
      <c r="BJ31" s="73">
        <f ca="1">LeastSq!$BJ29</f>
        <v>124.79015918092209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133.5639877149807</v>
      </c>
      <c r="AU32" s="73">
        <f ca="1">IF(AT32=0,0,LeastSq!AP30)</f>
        <v>125.62174602556291</v>
      </c>
      <c r="AV32" s="73">
        <f ca="1">IF(AT32=0,0,LeastSq!$AZ30)</f>
        <v>125.53002020514427</v>
      </c>
      <c r="AW32" s="73">
        <f ca="1">IF(AT32=0,0,LeastSq!$BJ30)</f>
        <v>125.66512991984779</v>
      </c>
      <c r="AX32" s="73">
        <f ca="1">IF($AT32=0,0,LeastSq!$BT30)</f>
        <v>123.61495901032175</v>
      </c>
      <c r="AY32" s="73">
        <f>Transport!$G43</f>
        <v>1.9371670965332439</v>
      </c>
      <c r="AZ32" s="73">
        <f t="shared" si="1"/>
        <v>133.5639877149807</v>
      </c>
      <c r="BA32" s="73">
        <f t="shared" ca="1" si="2"/>
        <v>133.5639877149807</v>
      </c>
      <c r="BH32" s="73">
        <f>LeastSq!BB30</f>
        <v>44986</v>
      </c>
      <c r="BI32" s="73">
        <f ca="1">LeastSq!$AZ30</f>
        <v>125.53002020514427</v>
      </c>
      <c r="BJ32" s="73">
        <f ca="1">LeastSq!$BJ30</f>
        <v>125.66512991984779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118.6059679653001</v>
      </c>
      <c r="AU33" s="73">
        <f ca="1">IF(AT33=0,0,LeastSq!AP31)</f>
        <v>126.49759642473887</v>
      </c>
      <c r="AV33" s="73">
        <f ca="1">IF(AT33=0,0,LeastSq!$AZ31)</f>
        <v>126.45910418280175</v>
      </c>
      <c r="AW33" s="73">
        <f ca="1">IF(AT33=0,0,LeastSq!$BJ31)</f>
        <v>126.5462355479265</v>
      </c>
      <c r="AX33" s="73">
        <f ca="1">IF($AT33=0,0,LeastSq!$BT31)</f>
        <v>124.90210241321212</v>
      </c>
      <c r="AY33" s="73">
        <f ca="1">Transport!$G44</f>
        <v>2.0231572208721764</v>
      </c>
      <c r="AZ33" s="73">
        <f t="shared" ca="1" si="1"/>
        <v>118.6059679653001</v>
      </c>
      <c r="BA33" s="73">
        <f t="shared" ca="1" si="2"/>
        <v>126.5462355479265</v>
      </c>
      <c r="BH33" s="73">
        <f>LeastSq!BB31</f>
        <v>45017</v>
      </c>
      <c r="BI33" s="73">
        <f ca="1">LeastSq!$AZ31</f>
        <v>126.45910418280175</v>
      </c>
      <c r="BJ33" s="73">
        <f ca="1">LeastSq!$BJ31</f>
        <v>126.5462355479265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124.33723938124062</v>
      </c>
      <c r="AU34" s="73">
        <f ca="1">IF(AT34=0,0,LeastSq!AP32)</f>
        <v>127.37955336156473</v>
      </c>
      <c r="AV34" s="73">
        <f ca="1">IF(AT34=0,0,LeastSq!$AZ32)</f>
        <v>127.39506457963076</v>
      </c>
      <c r="AW34" s="73">
        <f ca="1">IF(AT34=0,0,LeastSq!$BJ32)</f>
        <v>127.43351908015683</v>
      </c>
      <c r="AX34" s="73">
        <f ca="1">IF($AT34=0,0,LeastSq!$BT32)</f>
        <v>126.20264822429688</v>
      </c>
      <c r="AY34" s="73">
        <f ca="1">Transport!$G45</f>
        <v>2.5197731388069893</v>
      </c>
      <c r="AZ34" s="73">
        <f t="shared" ca="1" si="1"/>
        <v>124.33723938124062</v>
      </c>
      <c r="BA34" s="73">
        <f t="shared" ca="1" si="2"/>
        <v>127.43351908015683</v>
      </c>
      <c r="BH34" s="73">
        <f>LeastSq!BB32</f>
        <v>45047</v>
      </c>
      <c r="BI34" s="73">
        <f ca="1">LeastSq!$AZ32</f>
        <v>127.39506457963076</v>
      </c>
      <c r="BJ34" s="73">
        <f ca="1">LeastSq!$BJ32</f>
        <v>127.43351908015683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126.52959469531471</v>
      </c>
      <c r="AU35" s="73">
        <f ca="1">IF(AT35=0,0,LeastSq!AP33)</f>
        <v>128.26765941157839</v>
      </c>
      <c r="AV35" s="73">
        <f ca="1">IF(AT35=0,0,LeastSq!$AZ33)</f>
        <v>128.33795228999793</v>
      </c>
      <c r="AW35" s="73">
        <f ca="1">IF(AT35=0,0,LeastSq!$BJ33)</f>
        <v>128.32702383313818</v>
      </c>
      <c r="AX35" s="73">
        <f ca="1">IF($AT35=0,0,LeastSq!$BT33)</f>
        <v>127.51673599643806</v>
      </c>
      <c r="AY35" s="73">
        <f ca="1">Transport!$G46</f>
        <v>3.0547832121105376</v>
      </c>
      <c r="AZ35" s="73">
        <f t="shared" ca="1" si="1"/>
        <v>126.52959469531471</v>
      </c>
      <c r="BA35" s="73">
        <f t="shared" ca="1" si="2"/>
        <v>128.33795228999793</v>
      </c>
      <c r="BH35" s="73">
        <f>LeastSq!BB33</f>
        <v>45078</v>
      </c>
      <c r="BI35" s="73">
        <f ca="1">LeastSq!$AZ33</f>
        <v>128.33795228999793</v>
      </c>
      <c r="BJ35" s="73">
        <f ca="1">LeastSq!$BJ33</f>
        <v>128.32702383313818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123.03063866882034</v>
      </c>
      <c r="AU36" s="73">
        <f ca="1">IF(AT36=0,0,LeastSq!AP34)</f>
        <v>129.16195744716006</v>
      </c>
      <c r="AV36" s="73">
        <f ca="1">IF(AT36=0,0,LeastSq!$AZ34)</f>
        <v>129.28781858495401</v>
      </c>
      <c r="AW36" s="73">
        <f ca="1">IF(AT36=0,0,LeastSq!$BJ34)</f>
        <v>129.22679342718627</v>
      </c>
      <c r="AX36" s="73">
        <f ca="1">IF($AT36=0,0,LeastSq!$BT34)</f>
        <v>128.84450673559436</v>
      </c>
      <c r="AY36" s="73">
        <f ca="1">Transport!$G47</f>
        <v>3.5252539548243815</v>
      </c>
      <c r="AZ36" s="73">
        <f t="shared" ca="1" si="1"/>
        <v>123.03063866882034</v>
      </c>
      <c r="BA36" s="73">
        <f t="shared" ca="1" si="2"/>
        <v>129.28781858495401</v>
      </c>
      <c r="BH36" s="73">
        <f>LeastSq!BB34</f>
        <v>45108</v>
      </c>
      <c r="BI36" s="73">
        <f ca="1">LeastSq!$AZ34</f>
        <v>129.28781858495401</v>
      </c>
      <c r="BJ36" s="73">
        <f ca="1">LeastSq!$BJ34</f>
        <v>129.22679342718627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133.99423057285816</v>
      </c>
      <c r="AU37" s="73">
        <f ca="1">IF(AT37=0,0,LeastSq!AP35)</f>
        <v>130.06249063960141</v>
      </c>
      <c r="AV37" s="73">
        <f ca="1">IF(AT37=0,0,LeastSq!$AZ35)</f>
        <v>130.24471511502122</v>
      </c>
      <c r="AW37" s="73">
        <f ca="1">IF(AT37=0,0,LeastSq!$BJ35)</f>
        <v>130.13287178846184</v>
      </c>
      <c r="AX37" s="73">
        <f ca="1">IF($AT37=0,0,LeastSq!$BT35)</f>
        <v>130.18610291595257</v>
      </c>
      <c r="AY37" s="73">
        <f ca="1">Transport!$G48</f>
        <v>4.5461298886956509</v>
      </c>
      <c r="AZ37" s="73">
        <f t="shared" ca="1" si="1"/>
        <v>133.99423057285816</v>
      </c>
      <c r="BA37" s="73">
        <f t="shared" ca="1" si="2"/>
        <v>133.99423057285816</v>
      </c>
      <c r="BH37" s="73">
        <f>LeastSq!BB35</f>
        <v>45139</v>
      </c>
      <c r="BI37" s="73">
        <f ca="1">LeastSq!$AZ35</f>
        <v>130.24471511502122</v>
      </c>
      <c r="BJ37" s="73">
        <f ca="1">LeastSq!$BJ35</f>
        <v>130.13287178846184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129.29934720211332</v>
      </c>
      <c r="AU38" s="73">
        <f ca="1">IF(AT38=0,0,LeastSq!AP36)</f>
        <v>130.9693024611895</v>
      </c>
      <c r="AV38" s="73">
        <f ca="1">IF(AT38=0,0,LeastSq!$AZ36)</f>
        <v>131.20869391300258</v>
      </c>
      <c r="AW38" s="73">
        <f ca="1">IF(AT38=0,0,LeastSq!$BJ36)</f>
        <v>131.04530315111597</v>
      </c>
      <c r="AX38" s="73">
        <f ca="1">IF($AT38=0,0,LeastSq!$BT36)</f>
        <v>131.54166849521445</v>
      </c>
      <c r="AY38" s="73">
        <f ca="1">Transport!$G49</f>
        <v>5.2147750768371877</v>
      </c>
      <c r="AZ38" s="73">
        <f t="shared" ca="1" si="1"/>
        <v>129.29934720211332</v>
      </c>
      <c r="BA38" s="73">
        <f t="shared" ca="1" si="2"/>
        <v>131.20869391300258</v>
      </c>
      <c r="BH38" s="73">
        <f>LeastSq!BB36</f>
        <v>45170</v>
      </c>
      <c r="BI38" s="73">
        <f ca="1">LeastSq!$AZ36</f>
        <v>131.20869391300258</v>
      </c>
      <c r="BJ38" s="73">
        <f ca="1">LeastSq!$BJ36</f>
        <v>131.04530315111597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149.11806151825849</v>
      </c>
      <c r="AU39" s="73">
        <f ca="1">IF(AT39=0,0,LeastSq!AP37)</f>
        <v>131.8824366873059</v>
      </c>
      <c r="AV39" s="73">
        <f ca="1">IF(AT39=0,0,LeastSq!$AZ37)</f>
        <v>132.17980739681079</v>
      </c>
      <c r="AW39" s="73">
        <f ca="1">IF(AT39=0,0,LeastSq!$BJ37)</f>
        <v>131.96413205944859</v>
      </c>
      <c r="AX39" s="73">
        <f ca="1">IF($AT39=0,0,LeastSq!$BT37)</f>
        <v>132.91134893004491</v>
      </c>
      <c r="AY39" s="73">
        <f ca="1">Transport!$G50</f>
        <v>6.9776256376585737</v>
      </c>
      <c r="AZ39" s="73">
        <f t="shared" ca="1" si="1"/>
        <v>149.11806151825849</v>
      </c>
      <c r="BA39" s="73">
        <f t="shared" ca="1" si="2"/>
        <v>149.11806151825849</v>
      </c>
      <c r="BH39" s="73">
        <f>LeastSq!BB37</f>
        <v>45200</v>
      </c>
      <c r="BI39" s="73">
        <f ca="1">LeastSq!$AZ37</f>
        <v>132.17980739681079</v>
      </c>
      <c r="BJ39" s="73">
        <f ca="1">LeastSq!$BJ37</f>
        <v>131.96413205944859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143.55464408573698</v>
      </c>
      <c r="AU40" s="73">
        <f ca="1">IF(AT40=0,0,LeastSq!AP38)</f>
        <v>132.80193739853922</v>
      </c>
      <c r="AV40" s="73">
        <f ca="1">IF(AT40=0,0,LeastSq!$AZ38)</f>
        <v>133.15810837231876</v>
      </c>
      <c r="AW40" s="73">
        <f ca="1">IF(AT40=0,0,LeastSq!$BJ38)</f>
        <v>132.88940337008407</v>
      </c>
      <c r="AX40" s="73">
        <f ca="1">IF($AT40=0,0,LeastSq!$BT38)</f>
        <v>134.29529119167913</v>
      </c>
      <c r="AY40" s="73">
        <f ca="1">Transport!$G51</f>
        <v>7.7266099497221941</v>
      </c>
      <c r="AZ40" s="73">
        <f t="shared" ca="1" si="1"/>
        <v>143.55464408573698</v>
      </c>
      <c r="BA40" s="73">
        <f t="shared" ca="1" si="2"/>
        <v>143.55464408573698</v>
      </c>
      <c r="BH40" s="73">
        <f>LeastSq!BB38</f>
        <v>45231</v>
      </c>
      <c r="BI40" s="73">
        <f ca="1">LeastSq!$AZ38</f>
        <v>133.15810837231876</v>
      </c>
      <c r="BJ40" s="73">
        <f ca="1">LeastSq!$BJ38</f>
        <v>132.88940337008407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132.5937408676709</v>
      </c>
      <c r="AU41" s="73">
        <f ca="1">IF(AT41=0,0,LeastSq!AP39)</f>
        <v>133.72784898281378</v>
      </c>
      <c r="AV41" s="73">
        <f ca="1">IF(AT41=0,0,LeastSq!$AZ39)</f>
        <v>134.14365003623089</v>
      </c>
      <c r="AW41" s="73">
        <f ca="1">IF(AT41=0,0,LeastSq!$BJ39)</f>
        <v>133.82116225416021</v>
      </c>
      <c r="AX41" s="73">
        <f ca="1">IF($AT41=0,0,LeastSq!$BT39)</f>
        <v>135.69364378169342</v>
      </c>
      <c r="AY41" s="73">
        <f ca="1">Transport!$G52</f>
        <v>10.04754815228095</v>
      </c>
      <c r="AZ41" s="73">
        <f t="shared" ca="1" si="1"/>
        <v>132.5937408676709</v>
      </c>
      <c r="BA41" s="73">
        <f t="shared" ca="1" si="2"/>
        <v>134.14365003623089</v>
      </c>
      <c r="BH41" s="73">
        <f>LeastSq!BB39</f>
        <v>45261</v>
      </c>
      <c r="BI41" s="73">
        <f ca="1">LeastSq!$AZ39</f>
        <v>134.14365003623089</v>
      </c>
      <c r="BJ41" s="73">
        <f ca="1">LeastSq!$BJ39</f>
        <v>133.82116225416021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127.00956481623867</v>
      </c>
      <c r="AU42" s="73">
        <f ca="1">IF(AT42=0,0,LeastSq!AP40)</f>
        <v>134.66021613753162</v>
      </c>
      <c r="AV42" s="73">
        <f ca="1">IF(AT42=0,0,LeastSq!$AZ40)</f>
        <v>135.13648597897586</v>
      </c>
      <c r="AW42" s="73">
        <f ca="1">IF(AT42=0,0,LeastSq!$BJ40)</f>
        <v>134.75945419953439</v>
      </c>
      <c r="AX42" s="73">
        <f ca="1">IF($AT42=0,0,LeastSq!$BT40)</f>
        <v>137.10655674794032</v>
      </c>
      <c r="AY42" s="73">
        <f ca="1">Transport!$G53</f>
        <v>20.022785176072823</v>
      </c>
      <c r="AZ42" s="73">
        <f t="shared" ca="1" si="1"/>
        <v>127.00956481623867</v>
      </c>
      <c r="BA42" s="73">
        <f t="shared" ca="1" si="2"/>
        <v>135.13648597897586</v>
      </c>
      <c r="BH42" s="73">
        <f>LeastSq!BB40</f>
        <v>45292</v>
      </c>
      <c r="BI42" s="73">
        <f ca="1">LeastSq!$AZ40</f>
        <v>135.13648597897586</v>
      </c>
      <c r="BJ42" s="73">
        <f ca="1">LeastSq!$BJ40</f>
        <v>134.75945419953439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119.78322264291478</v>
      </c>
      <c r="AU43" s="73">
        <f ca="1">IF(AT43=0,0,LeastSq!AP41)</f>
        <v>135.59908387173093</v>
      </c>
      <c r="AV43" s="73"/>
      <c r="AW43" s="73"/>
      <c r="AX43" s="73"/>
      <c r="AY43" s="73">
        <f ca="1">Transport!$G54</f>
        <v>63.312545155483875</v>
      </c>
      <c r="AZ43" s="73">
        <f t="shared" ca="1" si="1"/>
        <v>119.78322264291478</v>
      </c>
      <c r="BA43" s="73">
        <f t="shared" ca="1" si="2"/>
        <v>135.59908387173093</v>
      </c>
      <c r="BH43" s="73">
        <f>LeastSq!BB41</f>
        <v>45323</v>
      </c>
      <c r="BI43" s="73">
        <f ca="1">LeastSq!$AZ41</f>
        <v>136.1366701876203</v>
      </c>
      <c r="BJ43" s="73">
        <f ca="1">LeastSq!$BJ41</f>
        <v>135.70432501300314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139.77999937419818</v>
      </c>
      <c r="AU44" s="73">
        <f ca="1">IF(AT44=0,0,LeastSq!AP42)</f>
        <v>136.54449750825844</v>
      </c>
      <c r="AV44" s="587"/>
      <c r="AW44" s="73"/>
      <c r="AX44" s="73"/>
      <c r="AY44" s="73">
        <f ca="1">Transport!$G55</f>
        <v>121.90486185425077</v>
      </c>
      <c r="AZ44" s="73">
        <f t="shared" ca="1" si="1"/>
        <v>139.77999937419818</v>
      </c>
      <c r="BA44" s="73">
        <f t="shared" ca="1" si="2"/>
        <v>139.77999937419818</v>
      </c>
      <c r="BH44" s="73">
        <f>LeastSq!BB42</f>
        <v>45352</v>
      </c>
      <c r="BI44" s="73">
        <f ca="1">LeastSq!$AZ42</f>
        <v>137.14425704880503</v>
      </c>
      <c r="BJ44" s="73">
        <f ca="1">LeastSq!$BJ42</f>
        <v>136.65582082253965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8.6949527675509897E-2</v>
      </c>
      <c r="O45" s="275">
        <f ca="1">LeastSq!F11</f>
        <v>8.6949527675509897E-2</v>
      </c>
      <c r="P45" s="275">
        <f ca="1">LeastSq!G11</f>
        <v>8.1949588192925527E-2</v>
      </c>
      <c r="Q45" s="275">
        <f ca="1">LeastSq!H11</f>
        <v>8.1949588192925527E-2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8.6949527675509897E-2</v>
      </c>
      <c r="AI45" s="275">
        <f t="shared" ref="AI45:AI48" ca="1" si="6">+O45</f>
        <v>8.6949527675509897E-2</v>
      </c>
      <c r="AJ45" s="275">
        <f t="shared" ref="AJ45:AJ48" ca="1" si="7">+P45</f>
        <v>8.1949588192925527E-2</v>
      </c>
      <c r="AK45" s="275">
        <f t="shared" ref="AK45:AK48" ca="1" si="8">+Q45</f>
        <v>8.1949588192925527E-2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9.2521588259768306E-2</v>
      </c>
      <c r="O46" s="276">
        <f ca="1">LeastSq!F12</f>
        <v>9.2521588259768306E-2</v>
      </c>
      <c r="P46" s="276">
        <f ca="1">LeastSq!G12</f>
        <v>9.2447697714801436E-2</v>
      </c>
      <c r="Q46" s="276">
        <f ca="1">LeastSq!H12</f>
        <v>9.2447697714801436E-2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9.2521588259768306E-2</v>
      </c>
      <c r="AI46" s="275">
        <f t="shared" ca="1" si="6"/>
        <v>9.2521588259768306E-2</v>
      </c>
      <c r="AJ46" s="275">
        <f t="shared" ca="1" si="7"/>
        <v>9.2447697714801436E-2</v>
      </c>
      <c r="AK46" s="275">
        <f t="shared" ca="1" si="8"/>
        <v>9.2447697714801436E-2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8.7460148329946197E-2</v>
      </c>
      <c r="O47" s="276">
        <f ca="1">LeastSq!F13</f>
        <v>8.7460148329946197E-2</v>
      </c>
      <c r="P47" s="276">
        <f ca="1">LeastSq!G13</f>
        <v>9.5085294214765526E-2</v>
      </c>
      <c r="Q47" s="276">
        <f ca="1">LeastSq!H13</f>
        <v>9.5085294214765526E-2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8.7460148329946197E-2</v>
      </c>
      <c r="AI47" s="275">
        <f t="shared" ca="1" si="6"/>
        <v>8.7460148329946197E-2</v>
      </c>
      <c r="AJ47" s="275">
        <f t="shared" ca="1" si="7"/>
        <v>9.5085294214765526E-2</v>
      </c>
      <c r="AK47" s="275">
        <f t="shared" ca="1" si="8"/>
        <v>9.5085294214765526E-2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0.13236029805262617</v>
      </c>
      <c r="O48" s="276">
        <f ca="1">LeastSq!F14</f>
        <v>0.13236029805262617</v>
      </c>
      <c r="P48" s="276">
        <f ca="1">LeastSq!G14</f>
        <v>0.1310270309772017</v>
      </c>
      <c r="Q48" s="276">
        <f ca="1">LeastSq!H14</f>
        <v>0.1310270309772017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0.13236029805262617</v>
      </c>
      <c r="AI48" s="275">
        <f t="shared" ca="1" si="6"/>
        <v>0.13236029805262617</v>
      </c>
      <c r="AJ48" s="275">
        <f t="shared" ca="1" si="7"/>
        <v>0.1310270309772017</v>
      </c>
      <c r="AK48" s="275">
        <f t="shared" ca="1" si="8"/>
        <v>0.1310270309772017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0.92816838756890552</v>
      </c>
      <c r="AQ51" s="120">
        <f t="shared" ref="AQ51:AQ68" si="13">AP51</f>
        <v>0.92816838756890552</v>
      </c>
      <c r="AR51" s="120">
        <f t="shared" ref="AR51:AR68" si="14">AQ51</f>
        <v>0.92816838756890552</v>
      </c>
      <c r="AS51" s="120">
        <f t="shared" ref="AS51:AT67" si="15">+AT27</f>
        <v>127.23851035141863</v>
      </c>
      <c r="AT51" s="120">
        <f t="shared" ca="1" si="15"/>
        <v>121.3326224717558</v>
      </c>
      <c r="AU51" s="588">
        <f ca="1">IF(AT27=0,0,LeastSq!$AZ25)</f>
        <v>120.98599132247304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0.96930035995118846</v>
      </c>
      <c r="AQ52" s="120">
        <f t="shared" si="13"/>
        <v>0.96930035995118846</v>
      </c>
      <c r="AR52" s="120">
        <f t="shared" si="14"/>
        <v>0.96930035995118846</v>
      </c>
      <c r="AS52" s="120">
        <f t="shared" si="15"/>
        <v>119.53416202431487</v>
      </c>
      <c r="AT52" s="120">
        <f t="shared" ca="1" si="15"/>
        <v>122.17856856936321</v>
      </c>
      <c r="AU52" s="588">
        <f ca="1">IF(AT28=0,0,LeastSq!$AZ26)</f>
        <v>121.8814436284236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1.0487485990745231</v>
      </c>
      <c r="AQ53" s="120">
        <f t="shared" si="13"/>
        <v>1.0487485990745231</v>
      </c>
      <c r="AR53" s="120">
        <f t="shared" si="14"/>
        <v>1.0487485990745231</v>
      </c>
      <c r="AS53" s="120">
        <f t="shared" si="15"/>
        <v>119.87264833936263</v>
      </c>
      <c r="AT53" s="120">
        <f t="shared" ca="1" si="15"/>
        <v>123.03041270811974</v>
      </c>
      <c r="AU53" s="588">
        <f ca="1">IF(AT29=0,0,LeastSq!$AZ27)</f>
        <v>122.78352343581848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1.1683527675516023</v>
      </c>
      <c r="AQ54" s="120">
        <f t="shared" si="13"/>
        <v>1.1683527675516023</v>
      </c>
      <c r="AR54" s="120">
        <f t="shared" si="14"/>
        <v>1.1683527675516023</v>
      </c>
      <c r="AS54" s="120">
        <f t="shared" si="15"/>
        <v>116.01377592746509</v>
      </c>
      <c r="AT54" s="120">
        <f t="shared" ca="1" si="15"/>
        <v>123.88819600989986</v>
      </c>
      <c r="AU54" s="588">
        <f ca="1">IF(AT30=0,0,LeastSq!$AZ28)</f>
        <v>123.69227979671237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1.4256621430963481</v>
      </c>
      <c r="AQ55" s="120">
        <f t="shared" si="13"/>
        <v>1.4256621430963481</v>
      </c>
      <c r="AR55" s="120">
        <f t="shared" si="14"/>
        <v>1.4256621430963481</v>
      </c>
      <c r="AS55" s="120">
        <f t="shared" si="15"/>
        <v>117.47706354236719</v>
      </c>
      <c r="AT55" s="120">
        <f t="shared" ca="1" si="15"/>
        <v>124.75195988328512</v>
      </c>
      <c r="AU55" s="588">
        <f ca="1">IF(AT31=0,0,LeastSq!$AZ29)</f>
        <v>124.6077621262081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1.9371670965332439</v>
      </c>
      <c r="AQ56" s="120">
        <f t="shared" si="13"/>
        <v>1.9371670965332439</v>
      </c>
      <c r="AR56" s="120">
        <f t="shared" si="14"/>
        <v>1.9371670965332439</v>
      </c>
      <c r="AS56" s="120">
        <f t="shared" si="15"/>
        <v>133.5639877149807</v>
      </c>
      <c r="AT56" s="120">
        <f t="shared" ca="1" si="15"/>
        <v>125.62174602556291</v>
      </c>
      <c r="AU56" s="588">
        <f ca="1">IF(AT32=0,0,LeastSq!$AZ30)</f>
        <v>125.53002020514427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2.0231572208721764</v>
      </c>
      <c r="AQ57" s="120">
        <f t="shared" ca="1" si="13"/>
        <v>2.0231572208721764</v>
      </c>
      <c r="AR57" s="120">
        <f t="shared" ca="1" si="14"/>
        <v>2.0231572208721764</v>
      </c>
      <c r="AS57" s="120">
        <f t="shared" ca="1" si="15"/>
        <v>118.6059679653001</v>
      </c>
      <c r="AT57" s="120">
        <f t="shared" ca="1" si="15"/>
        <v>126.49759642473887</v>
      </c>
      <c r="AU57" s="588">
        <f ca="1">IF(AT33=0,0,LeastSq!$AZ31)</f>
        <v>126.45910418280175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2.5197731388069893</v>
      </c>
      <c r="AQ58" s="120">
        <f t="shared" ca="1" si="13"/>
        <v>2.5197731388069893</v>
      </c>
      <c r="AR58" s="120">
        <f t="shared" ca="1" si="14"/>
        <v>2.5197731388069893</v>
      </c>
      <c r="AS58" s="120">
        <f t="shared" ca="1" si="15"/>
        <v>124.33723938124062</v>
      </c>
      <c r="AT58" s="120">
        <f t="shared" ca="1" si="15"/>
        <v>127.37955336156473</v>
      </c>
      <c r="AU58" s="588">
        <f ca="1">IF(AT34=0,0,LeastSq!$AZ32)</f>
        <v>127.39506457963076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3.0547832121105376</v>
      </c>
      <c r="AQ59" s="120">
        <f t="shared" ca="1" si="13"/>
        <v>3.0547832121105376</v>
      </c>
      <c r="AR59" s="120">
        <f t="shared" ca="1" si="14"/>
        <v>3.0547832121105376</v>
      </c>
      <c r="AS59" s="120">
        <f t="shared" ca="1" si="15"/>
        <v>126.52959469531471</v>
      </c>
      <c r="AT59" s="120">
        <f t="shared" ca="1" si="15"/>
        <v>128.26765941157839</v>
      </c>
      <c r="AU59" s="588">
        <f ca="1">IF(AT35=0,0,LeastSq!$AZ33)</f>
        <v>128.33795228999793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3.5252539548243815</v>
      </c>
      <c r="AQ60" s="120">
        <f t="shared" ca="1" si="13"/>
        <v>3.5252539548243815</v>
      </c>
      <c r="AR60" s="120">
        <f t="shared" ca="1" si="14"/>
        <v>3.5252539548243815</v>
      </c>
      <c r="AS60" s="120">
        <f t="shared" ca="1" si="15"/>
        <v>123.03063866882034</v>
      </c>
      <c r="AT60" s="120">
        <f t="shared" ca="1" si="15"/>
        <v>129.16195744716006</v>
      </c>
      <c r="AU60" s="588">
        <f ca="1">IF(AT36=0,0,LeastSq!$AZ34)</f>
        <v>129.28781858495401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4.5461298886956509</v>
      </c>
      <c r="AQ61" s="120">
        <f t="shared" ca="1" si="13"/>
        <v>4.5461298886956509</v>
      </c>
      <c r="AR61" s="120">
        <f t="shared" ca="1" si="14"/>
        <v>4.5461298886956509</v>
      </c>
      <c r="AS61" s="120">
        <f t="shared" ca="1" si="15"/>
        <v>133.99423057285816</v>
      </c>
      <c r="AT61" s="120">
        <f t="shared" ca="1" si="15"/>
        <v>130.06249063960141</v>
      </c>
      <c r="AU61" s="588">
        <f ca="1">IF(AT37=0,0,LeastSq!$AZ35)</f>
        <v>130.24471511502122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5.2147750768371877</v>
      </c>
      <c r="AQ62" s="120">
        <f t="shared" ca="1" si="13"/>
        <v>5.2147750768371877</v>
      </c>
      <c r="AR62" s="120">
        <f t="shared" ca="1" si="14"/>
        <v>5.2147750768371877</v>
      </c>
      <c r="AS62" s="120">
        <f t="shared" ca="1" si="15"/>
        <v>129.29934720211332</v>
      </c>
      <c r="AT62" s="120">
        <f t="shared" ca="1" si="15"/>
        <v>130.9693024611895</v>
      </c>
      <c r="AU62" s="588">
        <f ca="1">IF(AT38=0,0,LeastSq!$AZ36)</f>
        <v>131.20869391300258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6.9776256376585737</v>
      </c>
      <c r="AQ63" s="120">
        <f t="shared" ca="1" si="13"/>
        <v>6.9776256376585737</v>
      </c>
      <c r="AR63" s="120">
        <f t="shared" ca="1" si="14"/>
        <v>6.9776256376585737</v>
      </c>
      <c r="AS63" s="120">
        <f t="shared" ca="1" si="15"/>
        <v>149.11806151825849</v>
      </c>
      <c r="AT63" s="120">
        <f t="shared" ca="1" si="15"/>
        <v>131.8824366873059</v>
      </c>
      <c r="AU63" s="588">
        <f ca="1">IF(AT39=0,0,LeastSq!$AZ37)</f>
        <v>132.17980739681079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7.7266099497221941</v>
      </c>
      <c r="AQ64" s="120">
        <f t="shared" ca="1" si="13"/>
        <v>7.7266099497221941</v>
      </c>
      <c r="AR64" s="120">
        <f t="shared" ca="1" si="14"/>
        <v>7.7266099497221941</v>
      </c>
      <c r="AS64" s="120">
        <f t="shared" ca="1" si="15"/>
        <v>143.55464408573698</v>
      </c>
      <c r="AT64" s="120">
        <f t="shared" ca="1" si="15"/>
        <v>132.80193739853922</v>
      </c>
      <c r="AU64" s="588">
        <f ca="1">IF(AT40=0,0,LeastSq!$AZ38)</f>
        <v>133.15810837231876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10.04754815228095</v>
      </c>
      <c r="AQ65" s="120">
        <f t="shared" ca="1" si="13"/>
        <v>10.04754815228095</v>
      </c>
      <c r="AR65" s="120">
        <f t="shared" ca="1" si="14"/>
        <v>10.04754815228095</v>
      </c>
      <c r="AS65" s="120">
        <f t="shared" ca="1" si="15"/>
        <v>132.5937408676709</v>
      </c>
      <c r="AT65" s="120">
        <f t="shared" ca="1" si="15"/>
        <v>133.72784898281378</v>
      </c>
      <c r="AU65" s="588">
        <f ca="1">IF(AT41=0,0,LeastSq!$AZ39)</f>
        <v>134.14365003623089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20.022785176072823</v>
      </c>
      <c r="AQ66" s="120">
        <f t="shared" ca="1" si="13"/>
        <v>20.022785176072823</v>
      </c>
      <c r="AR66" s="120">
        <f t="shared" ca="1" si="14"/>
        <v>20.022785176072823</v>
      </c>
      <c r="AS66" s="120">
        <f t="shared" ca="1" si="15"/>
        <v>127.00956481623867</v>
      </c>
      <c r="AT66" s="120">
        <f t="shared" ca="1" si="15"/>
        <v>134.66021613753162</v>
      </c>
      <c r="AU66" s="588">
        <f ca="1">IF(AT42=0,0,LeastSq!$AZ40)</f>
        <v>135.13648597897586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63.312545155483875</v>
      </c>
      <c r="AQ67" s="120">
        <f t="shared" ca="1" si="13"/>
        <v>63.312545155483875</v>
      </c>
      <c r="AR67" s="120">
        <f t="shared" ca="1" si="14"/>
        <v>63.312545155483875</v>
      </c>
      <c r="AS67" s="120">
        <f t="shared" ca="1" si="15"/>
        <v>119.78322264291478</v>
      </c>
      <c r="AT67" s="120">
        <f t="shared" ca="1" si="15"/>
        <v>135.59908387173093</v>
      </c>
      <c r="AU67" s="588">
        <f ca="1">IF(AT43=0,0,LeastSq!$AZ41)</f>
        <v>136.1366701876203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121.90486185425077</v>
      </c>
      <c r="AQ68" s="120">
        <f t="shared" ca="1" si="13"/>
        <v>121.90486185425077</v>
      </c>
      <c r="AR68" s="120">
        <f t="shared" ca="1" si="14"/>
        <v>121.90486185425077</v>
      </c>
      <c r="AS68" s="120">
        <f ca="1">+AT44</f>
        <v>139.77999937419818</v>
      </c>
      <c r="AT68" s="120">
        <f ca="1">+AU44</f>
        <v>136.54449750825844</v>
      </c>
      <c r="AU68" s="588">
        <f ca="1">IF(AT44=0,0,LeastSq!$AZ42)</f>
        <v>137.14425704880503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Allied Pacific (APC Medicare)</v>
      </c>
      <c r="B89" s="145"/>
      <c r="U89" s="142" t="str">
        <f>$A$1</f>
        <v>Allied Pacific (APC Medicare)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0.85924411067638606</v>
      </c>
      <c r="AQ96" s="141">
        <f>Data!AM271</f>
        <v>0.86030263182158717</v>
      </c>
      <c r="AR96" s="141">
        <f>Data!AL283</f>
        <v>0.86723044385625625</v>
      </c>
      <c r="AS96" s="141">
        <f>Data!AK283</f>
        <v>0.82155703006404168</v>
      </c>
      <c r="AT96" s="173">
        <f>Data!$U283</f>
        <v>0.87028286804875155</v>
      </c>
      <c r="AW96" t="str">
        <f t="shared" si="16"/>
        <v>2</v>
      </c>
      <c r="AX96" s="141">
        <f>Data!AO271</f>
        <v>0.85924411067638606</v>
      </c>
      <c r="AY96" s="141">
        <f>Data!AP271</f>
        <v>0.86072810770417496</v>
      </c>
      <c r="AZ96" s="141">
        <f>Data!AQ271</f>
        <v>0.86851312667168734</v>
      </c>
      <c r="BA96" s="141">
        <f>Data!AR271</f>
        <v>0.8798163989273583</v>
      </c>
      <c r="BB96" s="141">
        <f>Data!BN10</f>
        <v>0.86030263182158717</v>
      </c>
    </row>
    <row r="97" spans="41:54" x14ac:dyDescent="0.2">
      <c r="AO97" t="str">
        <f>Data!AJ284</f>
        <v>12/23</v>
      </c>
      <c r="AP97" s="141">
        <f>Data!AN272</f>
        <v>0.92002832729817041</v>
      </c>
      <c r="AQ97" s="141">
        <f>Data!AM272</f>
        <v>0.92422314317391896</v>
      </c>
      <c r="AR97" s="141">
        <f>Data!AL284</f>
        <v>0.92704466688224663</v>
      </c>
      <c r="AS97" s="141">
        <f>Data!AK284</f>
        <v>0.8954392849361742</v>
      </c>
      <c r="AT97" s="173">
        <f>Data!$U284</f>
        <v>0.93041684822830339</v>
      </c>
      <c r="AW97" t="str">
        <f t="shared" si="16"/>
        <v>12/23</v>
      </c>
      <c r="AX97" s="141">
        <f>Data!AO272</f>
        <v>0.92002832729817041</v>
      </c>
      <c r="AY97" s="141">
        <f>Data!AP272</f>
        <v>0.92776358606949072</v>
      </c>
      <c r="AZ97" s="141">
        <f>Data!AQ272</f>
        <v>0.92389354130359314</v>
      </c>
      <c r="BA97" s="141">
        <f>Data!AR272</f>
        <v>0.93579620859790758</v>
      </c>
      <c r="BB97" s="141">
        <f>Data!BN11</f>
        <v>0.92422314317391896</v>
      </c>
    </row>
    <row r="98" spans="41:54" x14ac:dyDescent="0.2">
      <c r="AO98" t="str">
        <f>Data!AJ285</f>
        <v>4</v>
      </c>
      <c r="AP98" s="141">
        <f>Data!AN273</f>
        <v>0.94374169839118216</v>
      </c>
      <c r="AQ98" s="141">
        <f>Data!AM273</f>
        <v>0.9461765251161306</v>
      </c>
      <c r="AR98" s="141">
        <f>Data!AL285</f>
        <v>0.9465889990995926</v>
      </c>
      <c r="AS98" s="141">
        <f>Data!AK285</f>
        <v>0.92566551582853052</v>
      </c>
      <c r="AT98" s="173">
        <f>Data!$U285</f>
        <v>0.95024245116176265</v>
      </c>
      <c r="AW98" t="str">
        <f t="shared" si="16"/>
        <v>4</v>
      </c>
      <c r="AX98" s="141">
        <f>Data!AO273</f>
        <v>0.94374169839118216</v>
      </c>
      <c r="AY98" s="141">
        <f>Data!AP273</f>
        <v>0.9479331760712485</v>
      </c>
      <c r="AZ98" s="141">
        <f>Data!AQ273</f>
        <v>0.94163576498814627</v>
      </c>
      <c r="BA98" s="141">
        <f>Data!AR273</f>
        <v>0.95231131807260783</v>
      </c>
      <c r="BB98" s="141">
        <f>Data!BN12</f>
        <v>0.9461765251161306</v>
      </c>
    </row>
    <row r="99" spans="41:54" x14ac:dyDescent="0.2">
      <c r="AO99" t="str">
        <f>Data!AJ286</f>
        <v>5</v>
      </c>
      <c r="AP99" s="141">
        <f>Data!AN274</f>
        <v>0.95052475165636952</v>
      </c>
      <c r="AQ99" s="141">
        <f>Data!AM274</f>
        <v>0.95320743226422966</v>
      </c>
      <c r="AR99" s="141">
        <f>Data!AL286</f>
        <v>0.9537112389836917</v>
      </c>
      <c r="AS99" s="141">
        <f>Data!AK286</f>
        <v>0.93992390439053208</v>
      </c>
      <c r="AT99" s="173">
        <f>Data!$U286</f>
        <v>0.95725967042590221</v>
      </c>
      <c r="AW99" t="str">
        <f t="shared" si="16"/>
        <v>5</v>
      </c>
      <c r="AX99" s="141">
        <f>Data!AO274</f>
        <v>0.95052475165636952</v>
      </c>
      <c r="AY99" s="141">
        <f>Data!AP274</f>
        <v>0.9552080297145813</v>
      </c>
      <c r="AZ99" s="141">
        <f>Data!AQ274</f>
        <v>0.94909901572813782</v>
      </c>
      <c r="BA99" s="141">
        <f>Data!AR274</f>
        <v>0.95968684412196525</v>
      </c>
      <c r="BB99" s="141">
        <f>Data!BN13</f>
        <v>0.95320743226422966</v>
      </c>
    </row>
    <row r="100" spans="41:54" x14ac:dyDescent="0.2">
      <c r="AO100" t="str">
        <f>Data!AJ287</f>
        <v>9/23</v>
      </c>
      <c r="AP100" s="141">
        <f>Data!AN275</f>
        <v>0.95697048412543828</v>
      </c>
      <c r="AQ100" s="141">
        <f>Data!AM275</f>
        <v>0.95966901885398148</v>
      </c>
      <c r="AR100" s="141">
        <f>Data!AL287</f>
        <v>0.96110288740340877</v>
      </c>
      <c r="AS100" s="141">
        <f>Data!AK287</f>
        <v>0.94878242864628126</v>
      </c>
      <c r="AT100" s="173">
        <f>Data!$U287</f>
        <v>0.96420977627190563</v>
      </c>
      <c r="AW100" t="str">
        <f t="shared" si="16"/>
        <v>9/23</v>
      </c>
      <c r="AX100" s="141">
        <f>Data!AO275</f>
        <v>0.95697048412543828</v>
      </c>
      <c r="AY100" s="141">
        <f>Data!AP275</f>
        <v>0.96168083525665993</v>
      </c>
      <c r="AZ100" s="141">
        <f>Data!AQ275</f>
        <v>0.95825311885507669</v>
      </c>
      <c r="BA100" s="141">
        <f>Data!AR275</f>
        <v>0.9671766643976597</v>
      </c>
      <c r="BB100" s="141">
        <f>Data!BN14</f>
        <v>0.95966901885398148</v>
      </c>
    </row>
    <row r="101" spans="41:54" x14ac:dyDescent="0.2">
      <c r="AO101" t="str">
        <f>Data!AJ288</f>
        <v>7</v>
      </c>
      <c r="AP101" s="141">
        <f>Data!AN276</f>
        <v>0.96338965037125657</v>
      </c>
      <c r="AQ101" s="141">
        <f>Data!AM276</f>
        <v>0.96607216938916862</v>
      </c>
      <c r="AR101" s="141">
        <f>Data!AL288</f>
        <v>0.96722497018109532</v>
      </c>
      <c r="AS101" s="141">
        <f>Data!AK288</f>
        <v>0.95677546360043197</v>
      </c>
      <c r="AT101" s="173">
        <f>Data!$U288</f>
        <v>0.97041354804821212</v>
      </c>
      <c r="AW101" t="str">
        <f t="shared" si="16"/>
        <v>7</v>
      </c>
      <c r="AX101" s="141">
        <f>Data!AO276</f>
        <v>0.96338965037125657</v>
      </c>
      <c r="AY101" s="141">
        <f>Data!AP276</f>
        <v>0.96806322308375004</v>
      </c>
      <c r="AZ101" s="141">
        <f>Data!AQ276</f>
        <v>0.96483899685096775</v>
      </c>
      <c r="BA101" s="141">
        <f>Data!AR276</f>
        <v>0.972267652981887</v>
      </c>
      <c r="BB101" s="141">
        <f>Data!BN15</f>
        <v>0.96607216938916862</v>
      </c>
    </row>
    <row r="102" spans="41:54" ht="61.5" customHeight="1" x14ac:dyDescent="0.2">
      <c r="AO102" t="str">
        <f>Data!AJ289</f>
        <v>8</v>
      </c>
      <c r="AP102" s="141">
        <f>Data!AN277</f>
        <v>0.96925958162072556</v>
      </c>
      <c r="AQ102" s="141">
        <f>Data!AM277</f>
        <v>0.9713465065989646</v>
      </c>
      <c r="AR102" s="141">
        <f>Data!AL289</f>
        <v>0.9722013057641864</v>
      </c>
      <c r="AS102" s="141">
        <f>Data!AK289</f>
        <v>0.96296588117227178</v>
      </c>
      <c r="AT102" s="173">
        <f>Data!$U289</f>
        <v>0.9751594094397521</v>
      </c>
      <c r="AW102" t="str">
        <f t="shared" si="16"/>
        <v>8</v>
      </c>
      <c r="AX102" s="141">
        <f>Data!AO277</f>
        <v>0.96925958162072556</v>
      </c>
      <c r="AY102" s="141">
        <f>Data!AP277</f>
        <v>0.97273600241996372</v>
      </c>
      <c r="AZ102" s="141">
        <f>Data!AQ277</f>
        <v>0.96976074450150052</v>
      </c>
      <c r="BA102" s="141">
        <f>Data!AR277</f>
        <v>0.97670133147757121</v>
      </c>
      <c r="BB102" s="141">
        <f>Data!BN16</f>
        <v>0.9713465065989646</v>
      </c>
    </row>
    <row r="103" spans="41:54" x14ac:dyDescent="0.2">
      <c r="AO103" t="str">
        <f>Data!AJ290</f>
        <v>6/23</v>
      </c>
      <c r="AP103" s="141">
        <f>Data!AN278</f>
        <v>0.97492486163866798</v>
      </c>
      <c r="AQ103" s="141">
        <f>Data!AM278</f>
        <v>0.97585716712579107</v>
      </c>
      <c r="AR103" s="141">
        <f>Data!AL290</f>
        <v>0.97611358624165678</v>
      </c>
      <c r="AS103" s="141">
        <f>Data!AK290</f>
        <v>0.96781139785063397</v>
      </c>
      <c r="AT103" s="173">
        <f>Data!$U290</f>
        <v>0.97903304048193573</v>
      </c>
      <c r="AW103" t="str">
        <f t="shared" si="16"/>
        <v>6/23</v>
      </c>
      <c r="AX103" s="141">
        <f>Data!AO278</f>
        <v>0.97492486163866798</v>
      </c>
      <c r="AY103" s="141">
        <f>Data!AP278</f>
        <v>0.97623287130684111</v>
      </c>
      <c r="AZ103" s="141">
        <f>Data!AQ278</f>
        <v>0.97392525291311138</v>
      </c>
      <c r="BA103" s="141">
        <f>Data!AR278</f>
        <v>0.97942887435711479</v>
      </c>
      <c r="BB103" s="141">
        <f>Data!BN17</f>
        <v>0.97585716712579107</v>
      </c>
    </row>
    <row r="104" spans="41:54" x14ac:dyDescent="0.2">
      <c r="AO104" t="str">
        <f>Data!AJ291</f>
        <v>10</v>
      </c>
      <c r="AP104" s="141">
        <f>Data!AN279</f>
        <v>0.97887537519770107</v>
      </c>
      <c r="AQ104" s="141">
        <f>Data!AM279</f>
        <v>0.97973430552468965</v>
      </c>
      <c r="AR104" s="141">
        <f>Data!AL291</f>
        <v>0.9799161262525885</v>
      </c>
      <c r="AS104" s="141">
        <f>Data!AK291</f>
        <v>0.9713970326111252</v>
      </c>
      <c r="AT104" s="173">
        <f>Data!$U291</f>
        <v>0.98288802332264402</v>
      </c>
      <c r="AW104" t="str">
        <f t="shared" si="16"/>
        <v>10</v>
      </c>
      <c r="AX104" s="141">
        <f>Data!AO279</f>
        <v>0.97887537519770107</v>
      </c>
      <c r="AY104" s="141">
        <f>Data!AP279</f>
        <v>0.98003433187625788</v>
      </c>
      <c r="AZ104" s="141">
        <f>Data!AQ279</f>
        <v>0.97853886951304792</v>
      </c>
      <c r="BA104" s="141">
        <f>Data!AR279</f>
        <v>0.98227001691190807</v>
      </c>
      <c r="BB104" s="141">
        <f>Data!BN18</f>
        <v>0.97973430552468965</v>
      </c>
    </row>
    <row r="105" spans="41:54" x14ac:dyDescent="0.2">
      <c r="AO105" t="str">
        <f>Data!AJ292</f>
        <v>11</v>
      </c>
      <c r="AP105" s="141">
        <f>Data!AN280</f>
        <v>0.98158407497498024</v>
      </c>
      <c r="AQ105" s="141">
        <f>Data!AM280</f>
        <v>0.98294217199668188</v>
      </c>
      <c r="AR105" s="141">
        <f>Data!AL292</f>
        <v>0.98292117696525372</v>
      </c>
      <c r="AS105" s="141">
        <f>Data!AK292</f>
        <v>0.97477468765721198</v>
      </c>
      <c r="AT105" s="173">
        <f>Data!$U292</f>
        <v>0.9859409689318529</v>
      </c>
      <c r="AW105" t="str">
        <f t="shared" si="16"/>
        <v>11</v>
      </c>
      <c r="AX105" s="141">
        <f>Data!AO280</f>
        <v>0.98158407497498024</v>
      </c>
      <c r="AY105" s="141">
        <f>Data!AP280</f>
        <v>0.98374062556371555</v>
      </c>
      <c r="AZ105" s="141">
        <f>Data!AQ280</f>
        <v>0.98212326318562182</v>
      </c>
      <c r="BA105" s="141">
        <f>Data!AR280</f>
        <v>0.98432278367427628</v>
      </c>
      <c r="BB105" s="141">
        <f>Data!BN19</f>
        <v>0.98294217199668188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0.82155703006404168</v>
      </c>
      <c r="AQ108" s="141">
        <f>1-AP108</f>
        <v>0.17844296993595832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5.0000000000000001E-3</v>
      </c>
      <c r="AQ109" s="519">
        <f>VLOOKUP(AQ108,AU109:AZ114,6)</f>
        <v>0.02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0.81655703006404168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0.8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1.02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0.85924411067638606</v>
      </c>
      <c r="AQ117" s="141">
        <f>1-AP117</f>
        <v>0.14075588932361394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5.0000000000000001E-3</v>
      </c>
      <c r="AQ118" s="519">
        <f>VLOOKUP(AQ117,AU109:AZ114,6)</f>
        <v>0.02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0.85424411067638606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0.85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1.02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Allied Pacific (APC Medicare)</v>
      </c>
      <c r="U180" s="142" t="str">
        <f>$A$1</f>
        <v>Allied Pacific (APC Medicare)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4422726.4100000095</v>
      </c>
      <c r="AQ183" s="51">
        <f>AP183</f>
        <v>4422726.4100000095</v>
      </c>
      <c r="AS183" s="41">
        <f>+Transport!C38</f>
        <v>4688230.1524083707</v>
      </c>
    </row>
    <row r="184" spans="1:45" x14ac:dyDescent="0.2">
      <c r="AO184" s="150" t="str">
        <f t="shared" si="19"/>
        <v>11/22</v>
      </c>
      <c r="AP184" s="151">
        <f>Data!V142</f>
        <v>4477110.5900000036</v>
      </c>
      <c r="AQ184" s="51">
        <f t="shared" ref="AQ184:AQ200" si="20">AP184</f>
        <v>4477110.5900000036</v>
      </c>
      <c r="AS184" s="151">
        <f>+Transport!C39</f>
        <v>4411169.1811832916</v>
      </c>
    </row>
    <row r="185" spans="1:45" x14ac:dyDescent="0.2">
      <c r="AO185" s="150" t="str">
        <f t="shared" si="19"/>
        <v>12/22</v>
      </c>
      <c r="AP185" s="151">
        <f>Data!W142</f>
        <v>4397652.3700000178</v>
      </c>
      <c r="AQ185" s="51">
        <f t="shared" si="20"/>
        <v>4397652.3700000178</v>
      </c>
      <c r="AS185" s="151">
        <f>+Transport!C40</f>
        <v>4430972.5732161999</v>
      </c>
    </row>
    <row r="186" spans="1:45" x14ac:dyDescent="0.2">
      <c r="AO186" s="150" t="str">
        <f t="shared" si="19"/>
        <v>1/23</v>
      </c>
      <c r="AP186" s="151">
        <f>Data!X142</f>
        <v>4466615.6500000032</v>
      </c>
      <c r="AQ186" s="51">
        <f t="shared" si="20"/>
        <v>4466615.6500000032</v>
      </c>
      <c r="AS186" s="151">
        <f>+Transport!C41</f>
        <v>4355041.134541112</v>
      </c>
    </row>
    <row r="187" spans="1:45" x14ac:dyDescent="0.2">
      <c r="AO187" s="150" t="str">
        <f t="shared" si="19"/>
        <v>2/23</v>
      </c>
      <c r="AP187" s="151">
        <f>Data!Y142</f>
        <v>4009339.3599999989</v>
      </c>
      <c r="AQ187" s="51">
        <f t="shared" si="20"/>
        <v>4009339.3599999989</v>
      </c>
      <c r="AS187" s="151">
        <f>+Transport!C42</f>
        <v>4416080.295621125</v>
      </c>
    </row>
    <row r="188" spans="1:45" x14ac:dyDescent="0.2">
      <c r="AO188" s="150" t="str">
        <f t="shared" si="19"/>
        <v>3/23</v>
      </c>
      <c r="AP188" s="151">
        <f>Data!Z142</f>
        <v>5077483.7799999835</v>
      </c>
      <c r="AQ188" s="51">
        <f t="shared" si="20"/>
        <v>5077483.7799999835</v>
      </c>
      <c r="AS188" s="151">
        <f>+Transport!C43</f>
        <v>5057934.6507786037</v>
      </c>
    </row>
    <row r="189" spans="1:45" x14ac:dyDescent="0.2">
      <c r="AO189" s="150" t="str">
        <f t="shared" si="19"/>
        <v>4/23</v>
      </c>
      <c r="AP189" s="151">
        <f>Data!AA142</f>
        <v>4154075.8699999978</v>
      </c>
      <c r="AQ189" s="51">
        <f t="shared" si="20"/>
        <v>4154075.8699999978</v>
      </c>
      <c r="AS189" s="151">
        <f ca="1">+Transport!C44</f>
        <v>4539169</v>
      </c>
    </row>
    <row r="190" spans="1:45" ht="50.25" customHeight="1" x14ac:dyDescent="0.2">
      <c r="AO190" s="150" t="str">
        <f t="shared" si="19"/>
        <v>5/23</v>
      </c>
      <c r="AP190" s="151">
        <f>Data!AB142</f>
        <v>4653392.6099999966</v>
      </c>
      <c r="AQ190" s="51">
        <f t="shared" si="20"/>
        <v>4653392.6099999966</v>
      </c>
      <c r="AS190" s="151">
        <f ca="1">+Transport!C45</f>
        <v>4806629</v>
      </c>
    </row>
    <row r="191" spans="1:45" x14ac:dyDescent="0.2">
      <c r="AO191" s="150" t="str">
        <f t="shared" si="19"/>
        <v>6/23</v>
      </c>
      <c r="AP191" s="151">
        <f>Data!AC142</f>
        <v>4803201.339999998</v>
      </c>
      <c r="AQ191" s="51">
        <f t="shared" si="20"/>
        <v>4803201.339999998</v>
      </c>
      <c r="AS191" s="151">
        <f ca="1">+Transport!C46</f>
        <v>4923140</v>
      </c>
    </row>
    <row r="192" spans="1:45" x14ac:dyDescent="0.2">
      <c r="AO192" s="150" t="str">
        <f t="shared" si="19"/>
        <v>7/23</v>
      </c>
      <c r="AP192" s="151">
        <f>Data!AD142</f>
        <v>4525300.0899999943</v>
      </c>
      <c r="AQ192" s="51">
        <f t="shared" si="20"/>
        <v>4525300.0899999943</v>
      </c>
      <c r="AS192" s="151">
        <f ca="1">+Transport!C47</f>
        <v>4798564</v>
      </c>
    </row>
    <row r="193" spans="41:45" x14ac:dyDescent="0.2">
      <c r="AO193" s="150" t="str">
        <f t="shared" si="19"/>
        <v>8/23</v>
      </c>
      <c r="AP193" s="151">
        <f>Data!AE142</f>
        <v>4711315.7599999821</v>
      </c>
      <c r="AQ193" s="51">
        <f t="shared" si="20"/>
        <v>4711315.7599999821</v>
      </c>
      <c r="AS193" s="151">
        <f ca="1">+Transport!C48</f>
        <v>5248822</v>
      </c>
    </row>
    <row r="194" spans="41:45" x14ac:dyDescent="0.2">
      <c r="AO194" s="150" t="str">
        <f t="shared" si="19"/>
        <v>9/23</v>
      </c>
      <c r="AP194" s="151">
        <f>Data!AF142</f>
        <v>5026007.420000013</v>
      </c>
      <c r="AQ194" s="51">
        <f t="shared" si="20"/>
        <v>5026007.420000013</v>
      </c>
      <c r="AS194" s="151">
        <f ca="1">+Transport!C49</f>
        <v>5090386</v>
      </c>
    </row>
    <row r="195" spans="41:45" x14ac:dyDescent="0.2">
      <c r="AO195" s="150" t="str">
        <f t="shared" si="19"/>
        <v>10/23</v>
      </c>
      <c r="AP195" s="151">
        <f>Data!AG142</f>
        <v>5645364.459999986</v>
      </c>
      <c r="AQ195" s="51">
        <f t="shared" si="20"/>
        <v>5645364.459999986</v>
      </c>
      <c r="AS195" s="151">
        <f ca="1">+Transport!C50</f>
        <v>5904777</v>
      </c>
    </row>
    <row r="196" spans="41:45" x14ac:dyDescent="0.2">
      <c r="AO196" s="150" t="str">
        <f t="shared" si="19"/>
        <v>11/23</v>
      </c>
      <c r="AP196" s="151">
        <f>Data!AH142</f>
        <v>5226868.5000000019</v>
      </c>
      <c r="AQ196" s="51">
        <f t="shared" si="20"/>
        <v>5226868.5000000019</v>
      </c>
      <c r="AS196" s="151">
        <f ca="1">+Transport!C51</f>
        <v>5424930</v>
      </c>
    </row>
    <row r="197" spans="41:45" x14ac:dyDescent="0.2">
      <c r="AO197" s="150" t="str">
        <f t="shared" si="19"/>
        <v>12/23</v>
      </c>
      <c r="AP197" s="151">
        <f>Data!AI142</f>
        <v>5333947.7200000016</v>
      </c>
      <c r="AQ197" s="51">
        <f t="shared" si="20"/>
        <v>5333947.7200000016</v>
      </c>
      <c r="AS197" s="151">
        <f ca="1">+Transport!C52</f>
        <v>4990961</v>
      </c>
    </row>
    <row r="198" spans="41:45" x14ac:dyDescent="0.2">
      <c r="AO198" s="150" t="str">
        <f t="shared" si="19"/>
        <v>1/24</v>
      </c>
      <c r="AP198" s="151">
        <f>Data!AJ142</f>
        <v>5395969.1799999913</v>
      </c>
      <c r="AQ198" s="51">
        <f t="shared" si="20"/>
        <v>5395969.1799999913</v>
      </c>
      <c r="AS198" s="151">
        <f ca="1">+Transport!C53</f>
        <v>4129716</v>
      </c>
    </row>
    <row r="199" spans="41:45" x14ac:dyDescent="0.2">
      <c r="AO199" s="150" t="str">
        <f t="shared" si="19"/>
        <v>2/24</v>
      </c>
      <c r="AP199" s="151">
        <f>Data!AK142</f>
        <v>3323663.6499999929</v>
      </c>
      <c r="AQ199" s="51">
        <f t="shared" si="20"/>
        <v>3323663.6499999929</v>
      </c>
      <c r="AS199" s="151">
        <f ca="1">+Transport!C54</f>
        <v>3859655</v>
      </c>
    </row>
    <row r="200" spans="41:45" x14ac:dyDescent="0.2">
      <c r="AO200" s="150" t="str">
        <f t="shared" si="19"/>
        <v>3/24</v>
      </c>
      <c r="AP200" s="151">
        <f>Data!AL142</f>
        <v>3877540.2099999972</v>
      </c>
      <c r="AQ200" s="51">
        <f t="shared" si="20"/>
        <v>3877540.2099999972</v>
      </c>
      <c r="AS200" s="151">
        <f ca="1">+Transport!C55</f>
        <v>4467229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1.9703032546388026</v>
      </c>
      <c r="AQ227" s="152">
        <f>AP227</f>
        <v>1.9703032546388026</v>
      </c>
      <c r="AU227" s="42" t="str">
        <f>+AO244</f>
        <v>3/24</v>
      </c>
      <c r="AV227" s="448">
        <f t="shared" ref="AV227:AV243" si="21">IF(ISERR(+AW227),"--",AW227)</f>
        <v>1.9243978929621472</v>
      </c>
      <c r="AW227" s="449">
        <f>+AQ244</f>
        <v>1.9243978929621472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1.3541882868700801</v>
      </c>
      <c r="AQ228" s="152">
        <f t="shared" ref="AQ228:AQ244" si="23">AP228</f>
        <v>1.3541882868700801</v>
      </c>
      <c r="AU228" s="42" t="str">
        <f>+AO243</f>
        <v>2/24</v>
      </c>
      <c r="AV228" s="448">
        <f t="shared" si="21"/>
        <v>2.0979528479062588</v>
      </c>
      <c r="AW228" s="449">
        <f>+AQ243</f>
        <v>2.0979528479062588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1.3091605828770831</v>
      </c>
      <c r="AQ229" s="152">
        <f t="shared" si="23"/>
        <v>1.3091605828770831</v>
      </c>
      <c r="AU229" s="42" t="str">
        <f>+AO242</f>
        <v>1/24</v>
      </c>
      <c r="AV229" s="448">
        <f t="shared" si="21"/>
        <v>1.8393085614325182</v>
      </c>
      <c r="AW229" s="449">
        <f>+AQ242</f>
        <v>1.8393085614325182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1.6158398339019835</v>
      </c>
      <c r="AQ230" s="152">
        <f t="shared" si="23"/>
        <v>1.6158398339019835</v>
      </c>
      <c r="AU230" s="42" t="str">
        <f>+AO241</f>
        <v>12/23</v>
      </c>
      <c r="AV230" s="448">
        <f t="shared" si="21"/>
        <v>1.7008069137955482</v>
      </c>
      <c r="AW230" s="449">
        <f>+AQ241</f>
        <v>1.7008069137955482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2.0576352708641736</v>
      </c>
      <c r="AQ231" s="152">
        <f t="shared" si="23"/>
        <v>2.0576352708641736</v>
      </c>
      <c r="AU231" s="42" t="str">
        <f>+AO240</f>
        <v>11/23</v>
      </c>
      <c r="AV231" s="448">
        <f t="shared" si="21"/>
        <v>1.6605872177576302</v>
      </c>
      <c r="AW231" s="449">
        <f>+AQ240</f>
        <v>1.6605872177576302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1.4387885331659314</v>
      </c>
      <c r="AQ232" s="152">
        <f t="shared" si="23"/>
        <v>1.4387885331659314</v>
      </c>
      <c r="AU232" s="42" t="str">
        <f>+AO239</f>
        <v>10/23</v>
      </c>
      <c r="AV232" s="448">
        <f t="shared" si="21"/>
        <v>1.3306447428196719</v>
      </c>
      <c r="AW232" s="449">
        <f>+AQ239</f>
        <v>1.3306447428196719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1.7952011743107614</v>
      </c>
      <c r="AQ233" s="152">
        <f t="shared" si="23"/>
        <v>1.7952011743107614</v>
      </c>
      <c r="AU233" s="42" t="str">
        <f>+AO238</f>
        <v>9/23</v>
      </c>
      <c r="AV233" s="448">
        <f t="shared" si="21"/>
        <v>1.7104329921582144</v>
      </c>
      <c r="AW233" s="449">
        <f>+AQ238</f>
        <v>1.7104329921582144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1.5149523779382967</v>
      </c>
      <c r="AQ234" s="152">
        <f t="shared" si="23"/>
        <v>1.5149523779382967</v>
      </c>
      <c r="AU234" s="42" t="str">
        <f>+AO237</f>
        <v>8/23</v>
      </c>
      <c r="AV234" s="448">
        <f t="shared" si="21"/>
        <v>1.6396761994997362</v>
      </c>
      <c r="AW234" s="449">
        <f>+AQ237</f>
        <v>1.6396761994997362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1.3379411698781707</v>
      </c>
      <c r="AQ235" s="152">
        <f t="shared" si="23"/>
        <v>1.3379411698781707</v>
      </c>
      <c r="AU235" s="42" t="str">
        <f>+AO236</f>
        <v>7/23</v>
      </c>
      <c r="AV235" s="448">
        <f t="shared" si="21"/>
        <v>1.6165545564957222</v>
      </c>
      <c r="AW235" s="449">
        <f>+AQ236</f>
        <v>1.6165545564957222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1.6165545564957222</v>
      </c>
      <c r="AQ236" s="152">
        <f t="shared" si="23"/>
        <v>1.6165545564957222</v>
      </c>
      <c r="AU236" s="42" t="str">
        <f>+AO235</f>
        <v>6/23</v>
      </c>
      <c r="AV236" s="448">
        <f t="shared" si="21"/>
        <v>1.3379411698781707</v>
      </c>
      <c r="AW236" s="449">
        <f>+AQ235</f>
        <v>1.3379411698781707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1.6396761994997362</v>
      </c>
      <c r="AQ237" s="152">
        <f t="shared" si="23"/>
        <v>1.6396761994997362</v>
      </c>
      <c r="AU237" s="42" t="str">
        <f>+AO234</f>
        <v>5/23</v>
      </c>
      <c r="AV237" s="448">
        <f t="shared" si="21"/>
        <v>1.5149523779382967</v>
      </c>
      <c r="AW237" s="449">
        <f>+AQ234</f>
        <v>1.5149523779382967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1.7104329921582144</v>
      </c>
      <c r="AQ238" s="152">
        <f t="shared" si="23"/>
        <v>1.7104329921582144</v>
      </c>
      <c r="AU238" s="42" t="str">
        <f>+AO233</f>
        <v>4/23</v>
      </c>
      <c r="AV238" s="448">
        <f t="shared" si="21"/>
        <v>1.7952011743107614</v>
      </c>
      <c r="AW238" s="449">
        <f>+AQ233</f>
        <v>1.7952011743107614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1.3306447428196719</v>
      </c>
      <c r="AQ239" s="152">
        <f t="shared" si="23"/>
        <v>1.3306447428196719</v>
      </c>
      <c r="AU239" s="42" t="str">
        <f>+AO232</f>
        <v>3/23</v>
      </c>
      <c r="AV239" s="448">
        <f t="shared" si="21"/>
        <v>1.4387885331659314</v>
      </c>
      <c r="AW239" s="449">
        <f>+AQ232</f>
        <v>1.4387885331659314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1.6605872177576302</v>
      </c>
      <c r="AQ240" s="152">
        <f t="shared" si="23"/>
        <v>1.6605872177576302</v>
      </c>
      <c r="AU240" s="42" t="str">
        <f>+AO231</f>
        <v>2/23</v>
      </c>
      <c r="AV240" s="448">
        <f t="shared" si="21"/>
        <v>2.0576352708641736</v>
      </c>
      <c r="AW240" s="449">
        <f>+AQ231</f>
        <v>2.0576352708641736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1.7008069137955482</v>
      </c>
      <c r="AQ241" s="152">
        <f t="shared" si="23"/>
        <v>1.7008069137955482</v>
      </c>
      <c r="AU241" s="42" t="str">
        <f>+AO230</f>
        <v>1/23</v>
      </c>
      <c r="AV241" s="448">
        <f t="shared" si="21"/>
        <v>1.6158398339019835</v>
      </c>
      <c r="AW241" s="449">
        <f>+AQ230</f>
        <v>1.6158398339019835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1.8393085614325182</v>
      </c>
      <c r="AQ242" s="152">
        <f t="shared" si="23"/>
        <v>1.8393085614325182</v>
      </c>
      <c r="AU242" s="42" t="str">
        <f>+AO229</f>
        <v>12/22</v>
      </c>
      <c r="AV242" s="448">
        <f t="shared" si="21"/>
        <v>1.3091605828770831</v>
      </c>
      <c r="AW242" s="449">
        <f>+AQ229</f>
        <v>1.3091605828770831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2.0979528479062588</v>
      </c>
      <c r="AQ243" s="152">
        <f t="shared" si="23"/>
        <v>2.0979528479062588</v>
      </c>
      <c r="AU243" s="42" t="str">
        <f>+AO228</f>
        <v>11/22</v>
      </c>
      <c r="AV243" s="448">
        <f t="shared" si="21"/>
        <v>1.3541882868700801</v>
      </c>
      <c r="AW243" s="449">
        <f>+AQ228</f>
        <v>1.3541882868700801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1.9243978929621472</v>
      </c>
      <c r="AQ244" s="152">
        <f t="shared" si="23"/>
        <v>1.9243978929621472</v>
      </c>
      <c r="AU244" s="42" t="str">
        <f>+AO227</f>
        <v>10/22</v>
      </c>
      <c r="AV244" s="448">
        <f>IF(ISERR(+AW244),"--",AW244)</f>
        <v>1.9703032546388026</v>
      </c>
      <c r="AW244" s="449">
        <f>+AQ227</f>
        <v>1.9703032546388026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Allied Pacific (APC Medicare)</v>
      </c>
      <c r="U268" s="142" t="str">
        <f>$A$1</f>
        <v>Allied Pacific (APC Medicare)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33510</v>
      </c>
    </row>
    <row r="273" spans="41:42" x14ac:dyDescent="0.2">
      <c r="AO273" s="153" t="str">
        <f t="shared" si="24"/>
        <v>5/21</v>
      </c>
      <c r="AP273" s="154">
        <f>Transport!B21</f>
        <v>33625</v>
      </c>
    </row>
    <row r="274" spans="41:42" x14ac:dyDescent="0.2">
      <c r="AO274" s="153" t="str">
        <f t="shared" si="24"/>
        <v>6/21</v>
      </c>
      <c r="AP274" s="154">
        <f>Transport!B22</f>
        <v>33715</v>
      </c>
    </row>
    <row r="275" spans="41:42" x14ac:dyDescent="0.2">
      <c r="AO275" s="153" t="str">
        <f t="shared" si="24"/>
        <v>7/21</v>
      </c>
      <c r="AP275" s="154">
        <f>Transport!B23</f>
        <v>33923</v>
      </c>
    </row>
    <row r="276" spans="41:42" x14ac:dyDescent="0.2">
      <c r="AO276" s="153" t="str">
        <f t="shared" si="24"/>
        <v>8/21</v>
      </c>
      <c r="AP276" s="154">
        <f>Transport!B24</f>
        <v>34003</v>
      </c>
    </row>
    <row r="277" spans="41:42" ht="59.25" customHeight="1" x14ac:dyDescent="0.2">
      <c r="AO277" s="153" t="str">
        <f t="shared" si="24"/>
        <v>9/21</v>
      </c>
      <c r="AP277" s="154">
        <f>Transport!B25</f>
        <v>34128</v>
      </c>
    </row>
    <row r="278" spans="41:42" x14ac:dyDescent="0.2">
      <c r="AO278" s="153" t="str">
        <f t="shared" si="24"/>
        <v>10/21</v>
      </c>
      <c r="AP278" s="154">
        <f>Transport!B26</f>
        <v>34275</v>
      </c>
    </row>
    <row r="279" spans="41:42" x14ac:dyDescent="0.2">
      <c r="AO279" s="153" t="str">
        <f t="shared" si="24"/>
        <v>11/21</v>
      </c>
      <c r="AP279" s="154">
        <f>Transport!B27</f>
        <v>34312</v>
      </c>
    </row>
    <row r="280" spans="41:42" x14ac:dyDescent="0.2">
      <c r="AO280" s="153" t="str">
        <f t="shared" si="24"/>
        <v>12/21</v>
      </c>
      <c r="AP280" s="154">
        <f>Transport!B28</f>
        <v>34368</v>
      </c>
    </row>
    <row r="281" spans="41:42" x14ac:dyDescent="0.2">
      <c r="AO281" s="153" t="str">
        <f t="shared" si="24"/>
        <v>1/22</v>
      </c>
      <c r="AP281" s="154">
        <f>Transport!B29</f>
        <v>34854</v>
      </c>
    </row>
    <row r="282" spans="41:42" x14ac:dyDescent="0.2">
      <c r="AO282" s="153" t="str">
        <f t="shared" si="24"/>
        <v>2/22</v>
      </c>
      <c r="AP282" s="154">
        <f>Transport!B30</f>
        <v>34805</v>
      </c>
    </row>
    <row r="283" spans="41:42" x14ac:dyDescent="0.2">
      <c r="AO283" s="153" t="str">
        <f t="shared" si="24"/>
        <v>3/22</v>
      </c>
      <c r="AP283" s="154">
        <f>Transport!B31</f>
        <v>34838</v>
      </c>
    </row>
    <row r="284" spans="41:42" x14ac:dyDescent="0.2">
      <c r="AO284" s="153" t="str">
        <f t="shared" si="24"/>
        <v>4/22</v>
      </c>
      <c r="AP284" s="154">
        <f>Transport!B32</f>
        <v>34912</v>
      </c>
    </row>
    <row r="285" spans="41:42" x14ac:dyDescent="0.2">
      <c r="AO285" s="153" t="str">
        <f t="shared" si="24"/>
        <v>5/22</v>
      </c>
      <c r="AP285" s="154">
        <f>Transport!B33</f>
        <v>35020</v>
      </c>
    </row>
    <row r="286" spans="41:42" x14ac:dyDescent="0.2">
      <c r="AO286" s="153" t="str">
        <f t="shared" si="24"/>
        <v>6/22</v>
      </c>
      <c r="AP286" s="154">
        <f>Transport!B34</f>
        <v>35204</v>
      </c>
    </row>
    <row r="287" spans="41:42" x14ac:dyDescent="0.2">
      <c r="AO287" s="153" t="str">
        <f t="shared" si="24"/>
        <v>7/22</v>
      </c>
      <c r="AP287" s="154">
        <f>Transport!B35</f>
        <v>35445</v>
      </c>
    </row>
    <row r="288" spans="41:42" x14ac:dyDescent="0.2">
      <c r="AO288" s="153" t="str">
        <f t="shared" si="24"/>
        <v>8/22</v>
      </c>
      <c r="AP288" s="154">
        <f>Transport!B36</f>
        <v>35634</v>
      </c>
    </row>
    <row r="289" spans="41:42" x14ac:dyDescent="0.2">
      <c r="AO289" s="153" t="str">
        <f t="shared" si="24"/>
        <v>9/22</v>
      </c>
      <c r="AP289" s="154">
        <f>Transport!B37</f>
        <v>35855</v>
      </c>
    </row>
    <row r="290" spans="41:42" x14ac:dyDescent="0.2">
      <c r="AO290" s="153" t="str">
        <f t="shared" si="24"/>
        <v>10/22</v>
      </c>
      <c r="AP290" s="154">
        <f>Transport!B38</f>
        <v>36846</v>
      </c>
    </row>
    <row r="291" spans="41:42" x14ac:dyDescent="0.2">
      <c r="AO291" s="153" t="str">
        <f t="shared" si="24"/>
        <v>11/22</v>
      </c>
      <c r="AP291" s="154">
        <f>Transport!B39</f>
        <v>36903</v>
      </c>
    </row>
    <row r="292" spans="41:42" x14ac:dyDescent="0.2">
      <c r="AO292" s="153" t="str">
        <f t="shared" si="24"/>
        <v>12/22</v>
      </c>
      <c r="AP292" s="154">
        <f>Transport!B40</f>
        <v>36964</v>
      </c>
    </row>
    <row r="293" spans="41:42" x14ac:dyDescent="0.2">
      <c r="AO293" s="153" t="str">
        <f t="shared" si="24"/>
        <v>1/23</v>
      </c>
      <c r="AP293" s="154">
        <f>Transport!B41</f>
        <v>37539</v>
      </c>
    </row>
    <row r="294" spans="41:42" x14ac:dyDescent="0.2">
      <c r="AO294" s="153" t="str">
        <f t="shared" si="24"/>
        <v>2/23</v>
      </c>
      <c r="AP294" s="154">
        <f>Transport!B42</f>
        <v>37591</v>
      </c>
    </row>
    <row r="295" spans="41:42" x14ac:dyDescent="0.2">
      <c r="AO295" s="153" t="str">
        <f t="shared" si="24"/>
        <v>3/23</v>
      </c>
      <c r="AP295" s="154">
        <f>Transport!B43</f>
        <v>37869</v>
      </c>
    </row>
    <row r="296" spans="41:42" x14ac:dyDescent="0.2">
      <c r="AO296" s="153" t="str">
        <f t="shared" si="24"/>
        <v>4/23</v>
      </c>
      <c r="AP296" s="154">
        <f>Transport!B44</f>
        <v>38271</v>
      </c>
    </row>
    <row r="297" spans="41:42" x14ac:dyDescent="0.2">
      <c r="AO297" s="153" t="str">
        <f t="shared" si="24"/>
        <v>5/23</v>
      </c>
      <c r="AP297" s="154">
        <f>Transport!B45</f>
        <v>38658</v>
      </c>
    </row>
    <row r="298" spans="41:42" x14ac:dyDescent="0.2">
      <c r="AO298" s="153" t="str">
        <f t="shared" si="24"/>
        <v>6/23</v>
      </c>
      <c r="AP298" s="154">
        <f>Transport!B46</f>
        <v>38909</v>
      </c>
    </row>
    <row r="299" spans="41:42" x14ac:dyDescent="0.2">
      <c r="AO299" s="153" t="str">
        <f t="shared" si="24"/>
        <v>7/23</v>
      </c>
      <c r="AP299" s="154">
        <f>Transport!B47</f>
        <v>39003</v>
      </c>
    </row>
    <row r="300" spans="41:42" x14ac:dyDescent="0.2">
      <c r="AO300" s="153" t="str">
        <f t="shared" si="24"/>
        <v>8/23</v>
      </c>
      <c r="AP300" s="154">
        <f>Transport!B48</f>
        <v>39172</v>
      </c>
    </row>
    <row r="301" spans="41:42" x14ac:dyDescent="0.2">
      <c r="AO301" s="153" t="str">
        <f t="shared" si="24"/>
        <v>9/23</v>
      </c>
      <c r="AP301" s="154">
        <f>Transport!B49</f>
        <v>39369</v>
      </c>
    </row>
    <row r="302" spans="41:42" x14ac:dyDescent="0.2">
      <c r="AO302" s="153" t="str">
        <f t="shared" si="24"/>
        <v>10/23</v>
      </c>
      <c r="AP302" s="154">
        <f>Transport!B50</f>
        <v>39598</v>
      </c>
    </row>
    <row r="303" spans="41:42" x14ac:dyDescent="0.2">
      <c r="AO303" s="153" t="str">
        <f t="shared" si="24"/>
        <v>11/23</v>
      </c>
      <c r="AP303" s="154">
        <f>Transport!B51</f>
        <v>37790</v>
      </c>
    </row>
    <row r="304" spans="41:42" x14ac:dyDescent="0.2">
      <c r="AO304" s="153" t="str">
        <f t="shared" si="24"/>
        <v>12/23</v>
      </c>
      <c r="AP304" s="154">
        <f>Transport!B52</f>
        <v>37641</v>
      </c>
    </row>
    <row r="305" spans="41:45" x14ac:dyDescent="0.2">
      <c r="AO305" s="153" t="str">
        <f t="shared" si="24"/>
        <v>1/24</v>
      </c>
      <c r="AP305" s="154">
        <f>Transport!B53</f>
        <v>32515</v>
      </c>
    </row>
    <row r="306" spans="41:45" x14ac:dyDescent="0.2">
      <c r="AO306" s="153" t="str">
        <f t="shared" si="24"/>
        <v>2/24</v>
      </c>
      <c r="AP306" s="154">
        <f>Transport!B54</f>
        <v>32222</v>
      </c>
    </row>
    <row r="307" spans="41:45" x14ac:dyDescent="0.2">
      <c r="AO307" s="153" t="str">
        <f t="shared" si="24"/>
        <v>3/24</v>
      </c>
      <c r="AP307" s="154">
        <f>Transport!B55</f>
        <v>31959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Allied Pacific (APC Medicare)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8.6949527675509897E-2</v>
      </c>
      <c r="M52" s="278">
        <f ca="1">Charts!$O$45</f>
        <v>8.6949527675509897E-2</v>
      </c>
      <c r="N52" s="560"/>
      <c r="O52" s="278">
        <f ca="1">LeastSq!$G$11</f>
        <v>8.1949588192925527E-2</v>
      </c>
      <c r="P52" s="278">
        <f ca="1">LeastSq!$H$11</f>
        <v>8.1949588192925527E-2</v>
      </c>
      <c r="T52" s="7" t="s">
        <v>616</v>
      </c>
      <c r="U52" s="147">
        <f ca="1">Trends!G30</f>
        <v>7.9813530917986666E-2</v>
      </c>
      <c r="V52" s="147">
        <f ca="1">Trends!Y30</f>
        <v>7.9813530917986666E-2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9.2521588259768306E-2</v>
      </c>
      <c r="M53" s="279">
        <f ca="1">Charts!$O$46</f>
        <v>9.2521588259768306E-2</v>
      </c>
      <c r="N53" s="453"/>
      <c r="O53" s="279">
        <f ca="1">LeastSq!$G$12</f>
        <v>9.2447697714801436E-2</v>
      </c>
      <c r="P53" s="279">
        <f ca="1">LeastSq!$H$12</f>
        <v>9.2447697714801436E-2</v>
      </c>
      <c r="T53" s="10" t="s">
        <v>617</v>
      </c>
      <c r="U53" s="148">
        <f ca="1">Trends!F30</f>
        <v>8.2831542911189326E-2</v>
      </c>
      <c r="V53" s="148">
        <f ca="1">Trends!X30</f>
        <v>8.2831542911189326E-2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8.7460148329946197E-2</v>
      </c>
      <c r="M54" s="279">
        <f ca="1">Charts!$O$47</f>
        <v>8.7460148329946197E-2</v>
      </c>
      <c r="N54" s="453"/>
      <c r="O54" s="279">
        <f ca="1">LeastSq!$G$13</f>
        <v>9.5085294214765526E-2</v>
      </c>
      <c r="P54" s="279">
        <f ca="1">LeastSq!$H$13</f>
        <v>9.5085294214765526E-2</v>
      </c>
      <c r="T54" s="10" t="s">
        <v>234</v>
      </c>
      <c r="U54" s="148">
        <f ca="1">Trends!E30</f>
        <v>8.5005786115892754E-2</v>
      </c>
      <c r="V54" s="148">
        <f ca="1">Trends!W30</f>
        <v>8.5005786115892754E-2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0.13236029805262617</v>
      </c>
      <c r="M55" s="279">
        <f ca="1">Charts!$O$48</f>
        <v>0.13236029805262617</v>
      </c>
      <c r="N55" s="453"/>
      <c r="O55" s="279">
        <f ca="1">LeastSq!$G$14</f>
        <v>0.1310270309772017</v>
      </c>
      <c r="P55" s="279">
        <f ca="1">LeastSq!$H$14</f>
        <v>0.1310270309772017</v>
      </c>
    </row>
    <row r="56" spans="1:22" ht="15.75" x14ac:dyDescent="0.25">
      <c r="A56" s="303" t="str">
        <f>Data!$C$1</f>
        <v>Allied Pacific (APC Medicare)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8.6949527675509897E-2</v>
      </c>
      <c r="M107" s="278">
        <f ca="1">Charts!$O$45</f>
        <v>8.6949527675509897E-2</v>
      </c>
      <c r="N107" s="560"/>
      <c r="O107" s="278">
        <f ca="1">LeastSq!$G$11</f>
        <v>8.1949588192925527E-2</v>
      </c>
      <c r="P107" s="278">
        <f ca="1">LeastSq!$H$11</f>
        <v>8.1949588192925527E-2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9.2521588259768306E-2</v>
      </c>
      <c r="M108" s="279">
        <f ca="1">Charts!$O$46</f>
        <v>9.2521588259768306E-2</v>
      </c>
      <c r="N108" s="453"/>
      <c r="O108" s="279">
        <f ca="1">LeastSq!$G$12</f>
        <v>9.2447697714801436E-2</v>
      </c>
      <c r="P108" s="279">
        <f ca="1">LeastSq!$H$12</f>
        <v>9.2447697714801436E-2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8.7460148329946197E-2</v>
      </c>
      <c r="M109" s="279">
        <f ca="1">Charts!$O$47</f>
        <v>8.7460148329946197E-2</v>
      </c>
      <c r="N109" s="453"/>
      <c r="O109" s="279">
        <f ca="1">LeastSq!$G$13</f>
        <v>9.5085294214765526E-2</v>
      </c>
      <c r="P109" s="279">
        <f ca="1">LeastSq!$H$13</f>
        <v>9.5085294214765526E-2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0.13236029805262617</v>
      </c>
      <c r="M110" s="279">
        <f ca="1">Charts!$O$48</f>
        <v>0.13236029805262617</v>
      </c>
      <c r="N110" s="453"/>
      <c r="O110" s="279">
        <f ca="1">LeastSq!$G$14</f>
        <v>0.1310270309772017</v>
      </c>
      <c r="P110" s="279">
        <f ca="1">LeastSq!$H$14</f>
        <v>0.1310270309772017</v>
      </c>
    </row>
    <row r="111" spans="1:17" ht="15.75" x14ac:dyDescent="0.25">
      <c r="A111" s="303" t="str">
        <f>Data!$C$1</f>
        <v>Allied Pacific (APC Medicare)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8.6949527675509897E-2</v>
      </c>
      <c r="M161" s="278">
        <f ca="1">Charts!$O$45</f>
        <v>8.6949527675509897E-2</v>
      </c>
      <c r="N161" s="560"/>
      <c r="O161" s="278">
        <f ca="1">LeastSq!$G$11</f>
        <v>8.1949588192925527E-2</v>
      </c>
      <c r="P161" s="278">
        <f ca="1">LeastSq!$H$11</f>
        <v>8.1949588192925527E-2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9.2521588259768306E-2</v>
      </c>
      <c r="M162" s="279">
        <f ca="1">Charts!$O$46</f>
        <v>9.2521588259768306E-2</v>
      </c>
      <c r="N162" s="453"/>
      <c r="O162" s="279">
        <f ca="1">LeastSq!$G$12</f>
        <v>9.2447697714801436E-2</v>
      </c>
      <c r="P162" s="279">
        <f ca="1">LeastSq!$H$12</f>
        <v>9.2447697714801436E-2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8.7460148329946197E-2</v>
      </c>
      <c r="M163" s="279">
        <f ca="1">Charts!$O$47</f>
        <v>8.7460148329946197E-2</v>
      </c>
      <c r="N163" s="453"/>
      <c r="O163" s="279">
        <f ca="1">LeastSq!$G$13</f>
        <v>9.5085294214765526E-2</v>
      </c>
      <c r="P163" s="279">
        <f ca="1">LeastSq!$H$13</f>
        <v>9.5085294214765526E-2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0.13236029805262617</v>
      </c>
      <c r="M164" s="279">
        <f ca="1">Charts!$O$48</f>
        <v>0.13236029805262617</v>
      </c>
      <c r="N164" s="453"/>
      <c r="O164" s="279">
        <f ca="1">LeastSq!$G$14</f>
        <v>0.1310270309772017</v>
      </c>
      <c r="P164" s="279">
        <f ca="1">LeastSq!$H$14</f>
        <v>0.1310270309772017</v>
      </c>
    </row>
    <row r="166" spans="1:16" ht="15.75" x14ac:dyDescent="0.25">
      <c r="A166" s="303" t="str">
        <f>Data!$C$1</f>
        <v>Allied Pacific (APC Medicare)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8.6949527675509897E-2</v>
      </c>
      <c r="M217" s="278">
        <f ca="1">Charts!$O$45</f>
        <v>8.6949527675509897E-2</v>
      </c>
      <c r="N217" s="560"/>
      <c r="O217" s="278">
        <f ca="1">LeastSq!$G$11</f>
        <v>8.1949588192925527E-2</v>
      </c>
      <c r="P217" s="278">
        <f ca="1">LeastSq!$H$11</f>
        <v>8.1949588192925527E-2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9.2521588259768306E-2</v>
      </c>
      <c r="M218" s="279">
        <f ca="1">Charts!$O$46</f>
        <v>9.2521588259768306E-2</v>
      </c>
      <c r="N218" s="453"/>
      <c r="O218" s="279">
        <f ca="1">LeastSq!$G$12</f>
        <v>9.2447697714801436E-2</v>
      </c>
      <c r="P218" s="279">
        <f ca="1">LeastSq!$H$12</f>
        <v>9.2447697714801436E-2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8.7460148329946197E-2</v>
      </c>
      <c r="M219" s="279">
        <f ca="1">Charts!$O$47</f>
        <v>8.7460148329946197E-2</v>
      </c>
      <c r="N219" s="453"/>
      <c r="O219" s="279">
        <f ca="1">LeastSq!$G$13</f>
        <v>9.5085294214765526E-2</v>
      </c>
      <c r="P219" s="279">
        <f ca="1">LeastSq!$H$13</f>
        <v>9.5085294214765526E-2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0.13236029805262617</v>
      </c>
      <c r="M220" s="279">
        <f ca="1">Charts!$O$48</f>
        <v>0.13236029805262617</v>
      </c>
      <c r="N220" s="453"/>
      <c r="O220" s="279">
        <f ca="1">LeastSq!$G$14</f>
        <v>0.1310270309772017</v>
      </c>
      <c r="P220" s="279">
        <f ca="1">LeastSq!$H$14</f>
        <v>0.1310270309772017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Allied Pacific (APC Medicare)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8797051.5894060358</v>
      </c>
      <c r="D10" s="469"/>
      <c r="E10" s="470">
        <f t="shared" ref="E10:E18" ca="1" si="1">SUM(B10:C10)</f>
        <v>8797051.5894060358</v>
      </c>
      <c r="F10" s="7"/>
      <c r="G10" s="452">
        <f ca="1">Final!L117</f>
        <v>2.1186483284538404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3306268.6899999976</v>
      </c>
      <c r="C11" s="53">
        <f ca="1">Final!C118</f>
        <v>4901094.1094060354</v>
      </c>
      <c r="D11" s="30"/>
      <c r="E11" s="53">
        <f t="shared" ca="1" si="1"/>
        <v>8207362.799406033</v>
      </c>
      <c r="F11" s="453"/>
      <c r="G11" s="454">
        <f ca="1">Final!L118</f>
        <v>1.8968766282879437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4810334.1699999925</v>
      </c>
      <c r="C12" s="53">
        <f ca="1">Final!C119</f>
        <v>2861037.2794060339</v>
      </c>
      <c r="D12" s="35"/>
      <c r="E12" s="53">
        <f t="shared" ca="1" si="1"/>
        <v>7671371.4494060259</v>
      </c>
      <c r="F12" s="453"/>
      <c r="G12" s="454">
        <f ca="1">Final!L119</f>
        <v>1.5822037779666449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6727628.2099999897</v>
      </c>
      <c r="C13" s="53">
        <f ca="1">Final!C120</f>
        <v>2209996.4194060261</v>
      </c>
      <c r="D13" s="35"/>
      <c r="E13" s="53">
        <f t="shared" ca="1" si="1"/>
        <v>8937624.6294060163</v>
      </c>
      <c r="F13" s="453"/>
      <c r="G13" s="454">
        <f ca="1">Final!L120</f>
        <v>1.642878458664685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7448814.6899999995</v>
      </c>
      <c r="C14" s="53">
        <f ca="1">Final!C121</f>
        <v>1831796.6594060189</v>
      </c>
      <c r="D14" s="35"/>
      <c r="E14" s="53">
        <f t="shared" ca="1" si="1"/>
        <v>9280611.3494060189</v>
      </c>
      <c r="F14" s="453"/>
      <c r="G14" s="454">
        <f ca="1">Final!L121</f>
        <v>1.6955953932915031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7542741.7800000049</v>
      </c>
      <c r="C15" s="53">
        <f ca="1">Final!C122</f>
        <v>1539808.0694060172</v>
      </c>
      <c r="D15" s="35"/>
      <c r="E15" s="53">
        <f t="shared" ca="1" si="1"/>
        <v>9082549.8494060226</v>
      </c>
      <c r="F15" s="453"/>
      <c r="G15" s="454">
        <f ca="1">Final!L122</f>
        <v>1.677399329549865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7559629.2599999961</v>
      </c>
      <c r="C16" s="53">
        <f ca="1">Final!C123</f>
        <v>1263508.049406013</v>
      </c>
      <c r="D16" s="35"/>
      <c r="E16" s="53">
        <f t="shared" ca="1" si="1"/>
        <v>8823137.3094060086</v>
      </c>
      <c r="F16" s="453"/>
      <c r="G16" s="454">
        <f ca="1">Final!L123</f>
        <v>1.7485672216636652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7700551.1600000113</v>
      </c>
      <c r="C17" s="53">
        <f ca="1">Final!C124</f>
        <v>1058207.5694060097</v>
      </c>
      <c r="D17" s="30"/>
      <c r="E17" s="53">
        <f t="shared" ca="1" si="1"/>
        <v>8758758.7294060215</v>
      </c>
      <c r="F17" s="453"/>
      <c r="G17" s="454">
        <f ca="1">Final!L124</f>
        <v>1.7552005980429857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7341125.9199999887</v>
      </c>
      <c r="C18" s="53">
        <f ca="1">Final!C125</f>
        <v>880126.56940602371</v>
      </c>
      <c r="D18" s="35"/>
      <c r="E18" s="53">
        <f t="shared" ca="1" si="1"/>
        <v>8221252.489406012</v>
      </c>
      <c r="F18" s="453"/>
      <c r="G18" s="454">
        <f ca="1">Final!L125</f>
        <v>1.6976316187285929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7205357.4899999779</v>
      </c>
      <c r="C19" s="53">
        <f ca="1">Final!C126</f>
        <v>742631.08940600837</v>
      </c>
      <c r="D19" s="35"/>
      <c r="E19" s="53">
        <f t="shared" ref="E19:E24" ca="1" si="2">SUM(B19:C19)</f>
        <v>7947988.5794059858</v>
      </c>
      <c r="F19" s="453"/>
      <c r="G19" s="454">
        <f ca="1">Final!L126</f>
        <v>1.6710399707545127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7204277.3899999894</v>
      </c>
      <c r="C20" s="53">
        <f ca="1">Final!C127</f>
        <v>623772.52940599946</v>
      </c>
      <c r="D20" s="35"/>
      <c r="E20" s="53">
        <f t="shared" ca="1" si="2"/>
        <v>7828049.9194059893</v>
      </c>
      <c r="F20" s="453"/>
      <c r="G20" s="454">
        <f ca="1">Final!L127</f>
        <v>1.6304211087220171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7148450.3899999894</v>
      </c>
      <c r="C21" s="53">
        <f ca="1">Final!C128</f>
        <v>526363.13940599887</v>
      </c>
      <c r="D21" s="35"/>
      <c r="E21" s="53">
        <f t="shared" ca="1" si="2"/>
        <v>7674813.5294059888</v>
      </c>
      <c r="F21" s="453"/>
      <c r="G21" s="454">
        <f ca="1">Final!L128</f>
        <v>1.6430556165027301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6840785.5099999942</v>
      </c>
      <c r="C22" s="53">
        <f ca="1">Final!C129</f>
        <v>448934.8894059998</v>
      </c>
      <c r="D22" s="35"/>
      <c r="E22" s="53">
        <f t="shared" ca="1" si="2"/>
        <v>7289720.3994059935</v>
      </c>
      <c r="F22" s="453"/>
      <c r="G22" s="454">
        <f ca="1">Final!L129</f>
        <v>1.5813921839797862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6933693.2199999765</v>
      </c>
      <c r="C23" s="53">
        <f ca="1">Final!C130</f>
        <v>375576.30862738239</v>
      </c>
      <c r="D23" s="35"/>
      <c r="E23" s="53">
        <f t="shared" ca="1" si="2"/>
        <v>7309269.5286273584</v>
      </c>
      <c r="F23" s="453"/>
      <c r="G23" s="454">
        <f ca="1">Final!L130</f>
        <v>1.6609341351660363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6580544.3499999829</v>
      </c>
      <c r="C24" s="53">
        <f ca="1">Final!C131</f>
        <v>321984.24300624756</v>
      </c>
      <c r="D24" s="35"/>
      <c r="E24" s="53">
        <f t="shared" ca="1" si="2"/>
        <v>6902528.5930062309</v>
      </c>
      <c r="F24" s="453"/>
      <c r="G24" s="454">
        <f ca="1">Final!L131</f>
        <v>1.5690913699750191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8.6949527675509897E-2</v>
      </c>
      <c r="X53" s="459">
        <f ca="1">Charts!O45</f>
        <v>8.6949527675509897E-2</v>
      </c>
      <c r="Y53" s="447"/>
      <c r="Z53" s="460" t="s">
        <v>616</v>
      </c>
      <c r="AA53" s="461">
        <f ca="1">Trends!G30</f>
        <v>7.9813530917986666E-2</v>
      </c>
      <c r="AB53" s="461">
        <f ca="1">Trends!Y30</f>
        <v>7.9813530917986666E-2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9.2521588259768306E-2</v>
      </c>
      <c r="X54" s="463">
        <f ca="1">Charts!O46</f>
        <v>9.2521588259768306E-2</v>
      </c>
      <c r="Y54" s="447"/>
      <c r="Z54" s="464" t="s">
        <v>617</v>
      </c>
      <c r="AA54" s="465">
        <f ca="1">Trends!F30</f>
        <v>8.2831542911189326E-2</v>
      </c>
      <c r="AB54" s="465">
        <f ca="1">Trends!X30</f>
        <v>8.2831542911189326E-2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8.7460148329946197E-2</v>
      </c>
      <c r="X55" s="463">
        <f ca="1">Charts!O47</f>
        <v>8.7460148329946197E-2</v>
      </c>
      <c r="Y55" s="447"/>
      <c r="Z55" s="464" t="s">
        <v>234</v>
      </c>
      <c r="AA55" s="465">
        <f ca="1">Trends!E30</f>
        <v>8.5005786115892754E-2</v>
      </c>
      <c r="AB55" s="465">
        <f ca="1">Trends!W30</f>
        <v>8.5005786115892754E-2</v>
      </c>
    </row>
    <row r="56" spans="1:28" ht="15.75" x14ac:dyDescent="0.25">
      <c r="A56" s="303" t="str">
        <f>Data!$C$1</f>
        <v>Allied Pacific (APC Medicare)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8.6949527675509897E-2</v>
      </c>
      <c r="M107" s="278">
        <f ca="1">Charts!$O$45</f>
        <v>8.6949527675509897E-2</v>
      </c>
      <c r="N107" s="560"/>
      <c r="O107" s="278">
        <f ca="1">LeastSq!$G$11</f>
        <v>8.1949588192925527E-2</v>
      </c>
      <c r="P107" s="278">
        <f ca="1">LeastSq!$H$11</f>
        <v>8.1949588192925527E-2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9.2521588259768306E-2</v>
      </c>
      <c r="M108" s="279">
        <f ca="1">Charts!$O$46</f>
        <v>9.2521588259768306E-2</v>
      </c>
      <c r="N108" s="453"/>
      <c r="O108" s="279">
        <f ca="1">LeastSq!$G$12</f>
        <v>9.2447697714801436E-2</v>
      </c>
      <c r="P108" s="279">
        <f ca="1">LeastSq!$H$12</f>
        <v>9.2447697714801436E-2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8.7460148329946197E-2</v>
      </c>
      <c r="M109" s="279">
        <f ca="1">Charts!$O$47</f>
        <v>8.7460148329946197E-2</v>
      </c>
      <c r="N109" s="453"/>
      <c r="O109" s="279">
        <f ca="1">LeastSq!$G$13</f>
        <v>9.5085294214765526E-2</v>
      </c>
      <c r="P109" s="279">
        <f ca="1">LeastSq!$H$13</f>
        <v>9.5085294214765526E-2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0.13236029805262617</v>
      </c>
      <c r="M110" s="279">
        <f ca="1">Charts!$O$48</f>
        <v>0.13236029805262617</v>
      </c>
      <c r="N110" s="453"/>
      <c r="O110" s="279">
        <f ca="1">LeastSq!$G$14</f>
        <v>0.1310270309772017</v>
      </c>
      <c r="P110" s="279">
        <f ca="1">LeastSq!$H$14</f>
        <v>0.1310270309772017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Allied Pacific (APC Medicare)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8797051.5894060358</v>
      </c>
      <c r="D120" s="469"/>
      <c r="E120" s="470">
        <f t="shared" ref="E120:E134" ca="1" si="7">SUM(B120:C120)</f>
        <v>8797051.5894060358</v>
      </c>
      <c r="F120" s="7"/>
      <c r="G120" s="452">
        <f t="shared" ref="G120:G134" ca="1" si="8">G10</f>
        <v>2.1186483284538404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3306268.6899999976</v>
      </c>
      <c r="C121" s="53">
        <f t="shared" ca="1" si="6"/>
        <v>4901094.1094060354</v>
      </c>
      <c r="D121" s="30"/>
      <c r="E121" s="53">
        <f t="shared" ca="1" si="7"/>
        <v>8207362.799406033</v>
      </c>
      <c r="F121" s="453"/>
      <c r="G121" s="454">
        <f t="shared" ca="1" si="8"/>
        <v>1.8968766282879437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4810334.1699999925</v>
      </c>
      <c r="C122" s="53">
        <f t="shared" ca="1" si="6"/>
        <v>2861037.2794060339</v>
      </c>
      <c r="D122" s="35"/>
      <c r="E122" s="53">
        <f t="shared" ca="1" si="7"/>
        <v>7671371.4494060259</v>
      </c>
      <c r="F122" s="453"/>
      <c r="G122" s="454">
        <f t="shared" ca="1" si="8"/>
        <v>1.5822037779666449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6727628.2099999897</v>
      </c>
      <c r="C123" s="53">
        <f t="shared" ca="1" si="6"/>
        <v>2209996.4194060261</v>
      </c>
      <c r="D123" s="35"/>
      <c r="E123" s="53">
        <f t="shared" ca="1" si="7"/>
        <v>8937624.6294060163</v>
      </c>
      <c r="F123" s="453"/>
      <c r="G123" s="454">
        <f t="shared" ca="1" si="8"/>
        <v>1.642878458664685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7448814.6899999995</v>
      </c>
      <c r="C124" s="53">
        <f t="shared" ca="1" si="6"/>
        <v>1831796.6594060189</v>
      </c>
      <c r="D124" s="35"/>
      <c r="E124" s="53">
        <f t="shared" ca="1" si="7"/>
        <v>9280611.3494060189</v>
      </c>
      <c r="F124" s="453"/>
      <c r="G124" s="454">
        <f t="shared" ca="1" si="8"/>
        <v>1.6955953932915031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7542741.7800000049</v>
      </c>
      <c r="C125" s="53">
        <f t="shared" ca="1" si="6"/>
        <v>1539808.0694060172</v>
      </c>
      <c r="D125" s="35"/>
      <c r="E125" s="53">
        <f t="shared" ca="1" si="7"/>
        <v>9082549.8494060226</v>
      </c>
      <c r="F125" s="453"/>
      <c r="G125" s="454">
        <f t="shared" ca="1" si="8"/>
        <v>1.677399329549865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7559629.2599999961</v>
      </c>
      <c r="C126" s="53">
        <f t="shared" ca="1" si="6"/>
        <v>1263508.049406013</v>
      </c>
      <c r="D126" s="35"/>
      <c r="E126" s="53">
        <f t="shared" ca="1" si="7"/>
        <v>8823137.3094060086</v>
      </c>
      <c r="F126" s="453"/>
      <c r="G126" s="454">
        <f t="shared" ca="1" si="8"/>
        <v>1.7485672216636652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7700551.1600000113</v>
      </c>
      <c r="C127" s="53">
        <f t="shared" ca="1" si="6"/>
        <v>1058207.5694060097</v>
      </c>
      <c r="D127" s="30"/>
      <c r="E127" s="53">
        <f t="shared" ca="1" si="7"/>
        <v>8758758.7294060215</v>
      </c>
      <c r="F127" s="453"/>
      <c r="G127" s="454">
        <f t="shared" ca="1" si="8"/>
        <v>1.7552005980429857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7341125.9199999887</v>
      </c>
      <c r="C128" s="53">
        <f t="shared" ca="1" si="6"/>
        <v>880126.56940602371</v>
      </c>
      <c r="D128" s="35"/>
      <c r="E128" s="53">
        <f t="shared" ca="1" si="7"/>
        <v>8221252.489406012</v>
      </c>
      <c r="F128" s="453"/>
      <c r="G128" s="454">
        <f t="shared" ca="1" si="8"/>
        <v>1.6976316187285929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7205357.4899999779</v>
      </c>
      <c r="C129" s="53">
        <f t="shared" ca="1" si="6"/>
        <v>742631.08940600837</v>
      </c>
      <c r="D129" s="35"/>
      <c r="E129" s="53">
        <f t="shared" ca="1" si="7"/>
        <v>7947988.5794059858</v>
      </c>
      <c r="F129" s="453"/>
      <c r="G129" s="454">
        <f t="shared" ca="1" si="8"/>
        <v>1.6710399707545127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7204277.3899999894</v>
      </c>
      <c r="C130" s="53">
        <f t="shared" ca="1" si="6"/>
        <v>623772.52940599946</v>
      </c>
      <c r="D130" s="35"/>
      <c r="E130" s="53">
        <f t="shared" ca="1" si="7"/>
        <v>7828049.9194059893</v>
      </c>
      <c r="F130" s="453"/>
      <c r="G130" s="454">
        <f t="shared" ca="1" si="8"/>
        <v>1.6304211087220171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7148450.3899999894</v>
      </c>
      <c r="C131" s="53">
        <f t="shared" ca="1" si="6"/>
        <v>526363.13940599887</v>
      </c>
      <c r="D131" s="35"/>
      <c r="E131" s="53">
        <f t="shared" ca="1" si="7"/>
        <v>7674813.5294059888</v>
      </c>
      <c r="F131" s="453"/>
      <c r="G131" s="454">
        <f t="shared" ca="1" si="8"/>
        <v>1.6430556165027301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6840785.5099999942</v>
      </c>
      <c r="C132" s="53">
        <f t="shared" ca="1" si="6"/>
        <v>448934.8894059998</v>
      </c>
      <c r="D132" s="35"/>
      <c r="E132" s="53">
        <f t="shared" ca="1" si="7"/>
        <v>7289720.3994059935</v>
      </c>
      <c r="F132" s="453"/>
      <c r="G132" s="454">
        <f t="shared" ca="1" si="8"/>
        <v>1.5813921839797862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6933693.2199999765</v>
      </c>
      <c r="C133" s="53">
        <f t="shared" ca="1" si="6"/>
        <v>375576.30862738239</v>
      </c>
      <c r="D133" s="35"/>
      <c r="E133" s="53">
        <f t="shared" ca="1" si="7"/>
        <v>7309269.5286273584</v>
      </c>
      <c r="F133" s="453"/>
      <c r="G133" s="454">
        <f t="shared" ca="1" si="8"/>
        <v>1.6609341351660363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6580544.3499999829</v>
      </c>
      <c r="C134" s="53">
        <f t="shared" ca="1" si="6"/>
        <v>321984.24300624756</v>
      </c>
      <c r="D134" s="35"/>
      <c r="E134" s="53">
        <f t="shared" ca="1" si="7"/>
        <v>6902528.5930062309</v>
      </c>
      <c r="F134" s="453"/>
      <c r="G134" s="454">
        <f t="shared" ca="1" si="8"/>
        <v>1.5690913699750191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Allied Pacific (APC Medicare)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8.6949527675509897E-2</v>
      </c>
      <c r="M217" s="278">
        <f ca="1">Charts!$O$45</f>
        <v>8.6949527675509897E-2</v>
      </c>
      <c r="N217" s="560"/>
      <c r="O217" s="278">
        <f ca="1">LeastSq!$G$11</f>
        <v>8.1949588192925527E-2</v>
      </c>
      <c r="P217" s="278">
        <f ca="1">LeastSq!$H$11</f>
        <v>8.1949588192925527E-2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9.2521588259768306E-2</v>
      </c>
      <c r="M218" s="279">
        <f ca="1">Charts!$O$46</f>
        <v>9.2521588259768306E-2</v>
      </c>
      <c r="N218" s="453"/>
      <c r="O218" s="279">
        <f ca="1">LeastSq!$G$12</f>
        <v>9.2447697714801436E-2</v>
      </c>
      <c r="P218" s="279">
        <f ca="1">LeastSq!$H$12</f>
        <v>9.2447697714801436E-2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8.7460148329946197E-2</v>
      </c>
      <c r="M219" s="279">
        <f ca="1">Charts!$O$47</f>
        <v>8.7460148329946197E-2</v>
      </c>
      <c r="N219" s="453"/>
      <c r="O219" s="279">
        <f ca="1">LeastSq!$G$13</f>
        <v>9.5085294214765526E-2</v>
      </c>
      <c r="P219" s="279">
        <f ca="1">LeastSq!$H$13</f>
        <v>9.5085294214765526E-2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0.13236029805262617</v>
      </c>
      <c r="M220" s="279">
        <f ca="1">Charts!$O$48</f>
        <v>0.13236029805262617</v>
      </c>
      <c r="N220" s="453"/>
      <c r="O220" s="279">
        <f ca="1">LeastSq!$G$14</f>
        <v>0.1310270309772017</v>
      </c>
      <c r="P220" s="279">
        <f ca="1">LeastSq!$H$14</f>
        <v>0.1310270309772017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4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Allied Pacific (APC Medicare)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100.89458698895866</v>
      </c>
      <c r="C9" s="245">
        <f ca="1">LeastSq!$AF7</f>
        <v>106.6332823705395</v>
      </c>
      <c r="D9" s="242">
        <f>Transport!I20</f>
        <v>1</v>
      </c>
      <c r="E9" s="241">
        <f t="shared" ref="E9:E44" si="0">B9*D9</f>
        <v>100.89458698895866</v>
      </c>
      <c r="F9" s="245">
        <f ca="1">LeastSq!$AF69</f>
        <v>106.6332823705395</v>
      </c>
      <c r="G9" s="315">
        <f ca="1">IF(E9=0,"NA",+E9/F9)</f>
        <v>0.94618288723740607</v>
      </c>
      <c r="I9" s="252" t="s">
        <v>498</v>
      </c>
      <c r="J9" s="315">
        <f t="shared" ref="J9:J20" ca="1" si="1">AH11</f>
        <v>0.90538994851296406</v>
      </c>
      <c r="K9" s="315">
        <f t="shared" ref="K9:K20" ca="1" si="2">AI11</f>
        <v>0.94111715175604305</v>
      </c>
      <c r="L9" s="315" t="str">
        <f t="shared" ref="L9:L20" si="3">IF(AJ11=0,"--",AJ11)</f>
        <v>--</v>
      </c>
      <c r="M9" s="316">
        <f t="shared" ref="M9:M20" ca="1" si="4">AVERAGE(J9:L9)</f>
        <v>0.92325355013450361</v>
      </c>
      <c r="N9" s="15"/>
      <c r="O9" s="585">
        <f t="shared" ref="O9:O20" ca="1" si="5">(M9*12/M$22)*O$4+(1-O$4)</f>
        <v>0.95996894349474993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0.91</v>
      </c>
      <c r="U9" s="246">
        <f t="shared" ref="U9:U20" ca="1" si="7">IF(K9="NA","",ROUND(K9,2))</f>
        <v>0.94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0.95996894349474993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1.038406368324162</v>
      </c>
      <c r="BF9" s="315">
        <v>1.1406123394010368</v>
      </c>
      <c r="BG9" s="315" t="s">
        <v>1067</v>
      </c>
      <c r="BH9" s="315">
        <v>1.0895093538625993</v>
      </c>
      <c r="BI9" s="15"/>
      <c r="BJ9" s="315">
        <v>1.0295852202478231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99.675216059479581</v>
      </c>
      <c r="C10" s="247">
        <f ca="1">LeastSq!$AF8</f>
        <v>107.37211222887622</v>
      </c>
      <c r="D10" s="244">
        <f>Transport!I21</f>
        <v>1</v>
      </c>
      <c r="E10" s="241">
        <f t="shared" si="0"/>
        <v>99.675216059479581</v>
      </c>
      <c r="F10" s="247">
        <f ca="1">LeastSq!$AF70</f>
        <v>107.37211222887622</v>
      </c>
      <c r="G10" s="315">
        <f t="shared" ref="G10:G41" ca="1" si="9">IF(E10=0,"NA",+E10/F10)</f>
        <v>0.92831568635820627</v>
      </c>
      <c r="I10" s="252" t="s">
        <v>499</v>
      </c>
      <c r="J10" s="315">
        <f t="shared" ca="1" si="1"/>
        <v>0.93005575651123207</v>
      </c>
      <c r="K10" s="315">
        <f t="shared" ca="1" si="2"/>
        <v>0.94642998197144323</v>
      </c>
      <c r="L10" s="315" t="str">
        <f t="shared" si="3"/>
        <v>--</v>
      </c>
      <c r="M10" s="316">
        <f t="shared" ca="1" si="4"/>
        <v>0.9382428692413376</v>
      </c>
      <c r="N10" s="15"/>
      <c r="O10" s="15">
        <f t="shared" ca="1" si="5"/>
        <v>0.96743668761798851</v>
      </c>
      <c r="P10" s="15"/>
      <c r="Q10" s="96">
        <f>PMPM!C113</f>
        <v>0.97</v>
      </c>
      <c r="S10" s="252" t="s">
        <v>499</v>
      </c>
      <c r="T10" s="246">
        <f t="shared" ca="1" si="6"/>
        <v>0.93</v>
      </c>
      <c r="U10" s="246">
        <f t="shared" ca="1" si="7"/>
        <v>0.95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0.96743668761798851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0.94893865009113776</v>
      </c>
      <c r="BF10" s="315">
        <v>1.0464945021674645</v>
      </c>
      <c r="BG10" s="315" t="s">
        <v>1067</v>
      </c>
      <c r="BH10" s="315">
        <v>0.9977165761293012</v>
      </c>
      <c r="BI10" s="15"/>
      <c r="BJ10" s="315">
        <v>0.98496688058813564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107.90997929051117</v>
      </c>
      <c r="C11" s="247">
        <f ca="1">LeastSq!$AF9</f>
        <v>108.11606121650753</v>
      </c>
      <c r="D11" s="244">
        <f>Transport!I22</f>
        <v>1</v>
      </c>
      <c r="E11" s="241">
        <f t="shared" si="0"/>
        <v>107.90997929051117</v>
      </c>
      <c r="F11" s="247">
        <f ca="1">LeastSq!$AF71</f>
        <v>108.11606121650753</v>
      </c>
      <c r="G11" s="315">
        <f t="shared" ca="1" si="9"/>
        <v>0.99809388241046193</v>
      </c>
      <c r="I11" s="252" t="s">
        <v>500</v>
      </c>
      <c r="J11" s="315">
        <f t="shared" ca="1" si="1"/>
        <v>1.0820909890196433</v>
      </c>
      <c r="K11" s="315">
        <f t="shared" ca="1" si="2"/>
        <v>1.0686268098412546</v>
      </c>
      <c r="L11" s="315" t="str">
        <f t="shared" si="3"/>
        <v>--</v>
      </c>
      <c r="M11" s="316">
        <f t="shared" ca="1" si="4"/>
        <v>1.0753588994304488</v>
      </c>
      <c r="N11" s="15"/>
      <c r="O11" s="15">
        <f t="shared" ca="1" si="5"/>
        <v>1.0357484915997783</v>
      </c>
      <c r="P11" s="15"/>
      <c r="Q11" s="96">
        <f>PMPM!C114</f>
        <v>1.03</v>
      </c>
      <c r="S11" s="252" t="s">
        <v>500</v>
      </c>
      <c r="T11" s="246">
        <f t="shared" ca="1" si="6"/>
        <v>1.08</v>
      </c>
      <c r="U11" s="246">
        <f t="shared" ca="1" si="7"/>
        <v>1.07</v>
      </c>
      <c r="V11" s="246" t="str">
        <f t="shared" si="8"/>
        <v/>
      </c>
      <c r="W11" s="246">
        <f>+PMPM!C114</f>
        <v>1.03</v>
      </c>
      <c r="X11" s="246">
        <f t="shared" ca="1" si="10"/>
        <v>1.0357484915997783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0.94618288723740607</v>
      </c>
      <c r="AE11" s="237">
        <f t="shared" ref="AE11:AE22" ca="1" si="13">+G21</f>
        <v>0.980328797736012</v>
      </c>
      <c r="AF11" s="237">
        <f t="shared" ref="AF11:AF22" ca="1" si="14">+G33</f>
        <v>0.94242003885790249</v>
      </c>
      <c r="AG11" s="227"/>
      <c r="AH11" s="237">
        <f t="shared" ref="AH11:AH22" ca="1" si="15">VLOOKUP($AA11,$AC$11:$AF$22,2)</f>
        <v>0.90538994851296406</v>
      </c>
      <c r="AI11" s="237">
        <f t="shared" ref="AI11:AI22" ca="1" si="16">VLOOKUP($AA11,$AC$11:$AF$22,3)</f>
        <v>0.94111715175604305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0.92325355013450361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0.90538994851296406</v>
      </c>
      <c r="AQ11" s="237">
        <f t="shared" ref="AQ11:AQ22" ca="1" si="21">AVERAGE(AH11:AJ11)</f>
        <v>0.61550236675633574</v>
      </c>
      <c r="AR11" s="227"/>
      <c r="AS11" s="259"/>
      <c r="AT11" s="261">
        <f t="shared" ref="AT11:AT22" ca="1" si="22">AI11</f>
        <v>0.94111715175604305</v>
      </c>
      <c r="AU11" s="237">
        <f t="shared" ref="AU11:AU22" ca="1" si="23">AVERAGE(AH11:AJ11)</f>
        <v>0.61550236675633574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0.61550236675633574</v>
      </c>
      <c r="AZ11" s="227"/>
      <c r="BA11" s="259"/>
      <c r="BB11" s="246"/>
      <c r="BD11" s="252" t="s">
        <v>500</v>
      </c>
      <c r="BE11" s="315">
        <v>1.0778169473688128</v>
      </c>
      <c r="BF11" s="315">
        <v>0.92509854663748547</v>
      </c>
      <c r="BG11" s="315" t="s">
        <v>1067</v>
      </c>
      <c r="BH11" s="315">
        <v>1.0014577470031492</v>
      </c>
      <c r="BI11" s="15"/>
      <c r="BJ11" s="315">
        <v>0.98678537695458468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108.29673471066521</v>
      </c>
      <c r="C12" s="247">
        <f ca="1">LeastSq!$AF10</f>
        <v>108.86516480233671</v>
      </c>
      <c r="D12" s="244">
        <f>Transport!I23</f>
        <v>1</v>
      </c>
      <c r="E12" s="241">
        <f t="shared" si="0"/>
        <v>108.29673471066521</v>
      </c>
      <c r="F12" s="247">
        <f ca="1">LeastSq!$AF72</f>
        <v>108.86516480233671</v>
      </c>
      <c r="G12" s="315">
        <f t="shared" ca="1" si="9"/>
        <v>0.99477858603618907</v>
      </c>
      <c r="I12" s="252" t="s">
        <v>501</v>
      </c>
      <c r="J12" s="315">
        <f t="shared" ca="1" si="1"/>
        <v>0.94618288723740607</v>
      </c>
      <c r="K12" s="315">
        <f t="shared" ca="1" si="2"/>
        <v>0.980328797736012</v>
      </c>
      <c r="L12" s="315">
        <f t="shared" ca="1" si="3"/>
        <v>0.94242003885790249</v>
      </c>
      <c r="M12" s="316">
        <f t="shared" ca="1" si="4"/>
        <v>0.95631057461044022</v>
      </c>
      <c r="N12" s="15"/>
      <c r="O12" s="15">
        <f t="shared" ca="1" si="5"/>
        <v>0.9764380971969604</v>
      </c>
      <c r="P12" s="15"/>
      <c r="Q12" s="96">
        <f>PMPM!C115</f>
        <v>1.01</v>
      </c>
      <c r="S12" s="252" t="s">
        <v>501</v>
      </c>
      <c r="T12" s="246">
        <f t="shared" ca="1" si="6"/>
        <v>0.95</v>
      </c>
      <c r="U12" s="246">
        <f t="shared" ca="1" si="7"/>
        <v>0.98</v>
      </c>
      <c r="V12" s="246">
        <f t="shared" ca="1" si="8"/>
        <v>0.94</v>
      </c>
      <c r="W12" s="246">
        <f>+PMPM!C115</f>
        <v>1.01</v>
      </c>
      <c r="X12" s="246">
        <f t="shared" ca="1" si="10"/>
        <v>0.9764380971969604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0.92831568635820627</v>
      </c>
      <c r="AE12" s="237">
        <f t="shared" ca="1" si="13"/>
        <v>0.99158431933564883</v>
      </c>
      <c r="AF12" s="237">
        <f t="shared" ca="1" si="14"/>
        <v>0.98116143922157206</v>
      </c>
      <c r="AG12" s="227"/>
      <c r="AH12" s="237">
        <f t="shared" ca="1" si="15"/>
        <v>0.93005575651123207</v>
      </c>
      <c r="AI12" s="237">
        <f t="shared" ca="1" si="16"/>
        <v>0.94642998197144323</v>
      </c>
      <c r="AJ12" s="237">
        <f t="shared" si="17"/>
        <v>0</v>
      </c>
      <c r="AK12" s="227"/>
      <c r="AL12" s="261">
        <f t="shared" ca="1" si="18"/>
        <v>0.9382428692413376</v>
      </c>
      <c r="AM12" s="237">
        <f t="shared" si="19"/>
        <v>0</v>
      </c>
      <c r="AN12" s="232" t="s">
        <v>245</v>
      </c>
      <c r="AO12" s="262">
        <f ca="1">AVERAGE(AL11:AL22)</f>
        <v>1.0029756719376359</v>
      </c>
      <c r="AP12" s="261">
        <f t="shared" ca="1" si="20"/>
        <v>0.93005575651123207</v>
      </c>
      <c r="AQ12" s="237">
        <f t="shared" ca="1" si="21"/>
        <v>0.62549524616089169</v>
      </c>
      <c r="AR12" s="232" t="s">
        <v>245</v>
      </c>
      <c r="AS12" s="262">
        <f ca="1">AVERAGE(AP11:AP22)</f>
        <v>1.0020119106243603</v>
      </c>
      <c r="AT12" s="261">
        <f t="shared" ca="1" si="22"/>
        <v>0.94642998197144323</v>
      </c>
      <c r="AU12" s="237">
        <f t="shared" ca="1" si="23"/>
        <v>0.62549524616089169</v>
      </c>
      <c r="AV12" s="232" t="s">
        <v>245</v>
      </c>
      <c r="AW12" s="262">
        <f ca="1">AVERAGE(AT11:AT22)</f>
        <v>1.0039394332509117</v>
      </c>
      <c r="AX12" s="261">
        <f t="shared" si="24"/>
        <v>0</v>
      </c>
      <c r="AY12" s="237">
        <f t="shared" ca="1" si="25"/>
        <v>0.62549524616089169</v>
      </c>
      <c r="AZ12" s="232" t="s">
        <v>245</v>
      </c>
      <c r="BA12" s="262">
        <f ca="1">AVERAGE(AX11:AX22)</f>
        <v>0.76012338793740353</v>
      </c>
      <c r="BB12" s="246"/>
      <c r="BD12" s="252" t="s">
        <v>501</v>
      </c>
      <c r="BE12" s="315">
        <v>0.9155052960261032</v>
      </c>
      <c r="BF12" s="315">
        <v>1.0655556094184815</v>
      </c>
      <c r="BG12" s="315"/>
      <c r="BH12" s="315">
        <v>0.99053045272229234</v>
      </c>
      <c r="BI12" s="15"/>
      <c r="BJ12" s="315">
        <v>0.98147387271836672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114.76950676537243</v>
      </c>
      <c r="C13" s="247">
        <f ca="1">LeastSq!$AF11</f>
        <v>109.61945870102032</v>
      </c>
      <c r="D13" s="244">
        <f>Transport!I24</f>
        <v>1</v>
      </c>
      <c r="E13" s="241">
        <f t="shared" si="0"/>
        <v>114.76950676537243</v>
      </c>
      <c r="F13" s="247">
        <f ca="1">LeastSq!$AF73</f>
        <v>109.61945870102032</v>
      </c>
      <c r="G13" s="315">
        <f t="shared" ca="1" si="9"/>
        <v>1.0469811484692559</v>
      </c>
      <c r="I13" s="252" t="s">
        <v>502</v>
      </c>
      <c r="J13" s="315">
        <f t="shared" ca="1" si="1"/>
        <v>0.92831568635820627</v>
      </c>
      <c r="K13" s="315">
        <f t="shared" ca="1" si="2"/>
        <v>0.99158431933564883</v>
      </c>
      <c r="L13" s="315">
        <f t="shared" ca="1" si="3"/>
        <v>0.98116143922157206</v>
      </c>
      <c r="M13" s="316">
        <f t="shared" ca="1" si="4"/>
        <v>0.96702048163847565</v>
      </c>
      <c r="N13" s="15"/>
      <c r="O13" s="15">
        <f t="shared" ca="1" si="5"/>
        <v>0.98177381956693655</v>
      </c>
      <c r="P13" s="15"/>
      <c r="Q13" s="96">
        <f>PMPM!C116</f>
        <v>1.02</v>
      </c>
      <c r="S13" s="252" t="s">
        <v>502</v>
      </c>
      <c r="T13" s="246">
        <f t="shared" ca="1" si="6"/>
        <v>0.93</v>
      </c>
      <c r="U13" s="246">
        <f t="shared" ca="1" si="7"/>
        <v>0.99</v>
      </c>
      <c r="V13" s="246">
        <f t="shared" ca="1" si="8"/>
        <v>0.98</v>
      </c>
      <c r="W13" s="246">
        <f>+PMPM!C116</f>
        <v>1.02</v>
      </c>
      <c r="X13" s="246">
        <f t="shared" ca="1" si="10"/>
        <v>0.98177381956693655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0.99809388241046193</v>
      </c>
      <c r="AE13" s="237">
        <f t="shared" ca="1" si="13"/>
        <v>1.0072040702439737</v>
      </c>
      <c r="AF13" s="237">
        <f t="shared" ca="1" si="14"/>
        <v>0.99159116594179975</v>
      </c>
      <c r="AG13" s="227"/>
      <c r="AH13" s="237">
        <f t="shared" ca="1" si="15"/>
        <v>1.0820909890196433</v>
      </c>
      <c r="AI13" s="237">
        <f t="shared" ca="1" si="16"/>
        <v>1.0686268098412546</v>
      </c>
      <c r="AJ13" s="237">
        <f t="shared" si="17"/>
        <v>0</v>
      </c>
      <c r="AK13" s="227"/>
      <c r="AL13" s="261">
        <f t="shared" ca="1" si="18"/>
        <v>1.0753588994304488</v>
      </c>
      <c r="AM13" s="237">
        <f t="shared" si="19"/>
        <v>0</v>
      </c>
      <c r="AN13" s="232" t="s">
        <v>521</v>
      </c>
      <c r="AO13" s="262">
        <f ca="1">SUMPRODUCT(AL11:AL22,AL11:AL22)/12</f>
        <v>1.008569125851424</v>
      </c>
      <c r="AP13" s="261">
        <f t="shared" ca="1" si="20"/>
        <v>1.0820909890196433</v>
      </c>
      <c r="AQ13" s="237">
        <f t="shared" ca="1" si="21"/>
        <v>0.71690593295363259</v>
      </c>
      <c r="AR13" s="232" t="s">
        <v>521</v>
      </c>
      <c r="AS13" s="262">
        <f ca="1">SUMPRODUCT(AP11:AP22,AP11:AP22)/12</f>
        <v>1.0076987720657831</v>
      </c>
      <c r="AT13" s="261">
        <f t="shared" ca="1" si="22"/>
        <v>1.0686268098412546</v>
      </c>
      <c r="AU13" s="237">
        <f t="shared" ca="1" si="23"/>
        <v>0.71690593295363259</v>
      </c>
      <c r="AV13" s="232" t="s">
        <v>521</v>
      </c>
      <c r="AW13" s="262">
        <f ca="1">SUMPRODUCT(AT11:AT22,AT11:AT22)/12</f>
        <v>1.0100224092799213</v>
      </c>
      <c r="AX13" s="261">
        <f t="shared" si="24"/>
        <v>0</v>
      </c>
      <c r="AY13" s="237">
        <f t="shared" ca="1" si="25"/>
        <v>0.71690593295363259</v>
      </c>
      <c r="AZ13" s="232" t="s">
        <v>521</v>
      </c>
      <c r="BA13" s="262">
        <f ca="1">SUMPRODUCT(AX11:AX22,AX11:AX22)/12</f>
        <v>0.7730077856959664</v>
      </c>
      <c r="BB13" s="246"/>
      <c r="BD13" s="252" t="s">
        <v>502</v>
      </c>
      <c r="BE13" s="315">
        <v>0.96618789594469701</v>
      </c>
      <c r="BF13" s="315">
        <v>1.1138941833334188</v>
      </c>
      <c r="BG13" s="315"/>
      <c r="BH13" s="315">
        <v>1.0400410396390578</v>
      </c>
      <c r="BI13" s="15"/>
      <c r="BJ13" s="315">
        <v>1.005539820370819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117.72995171430985</v>
      </c>
      <c r="C14" s="247">
        <f ca="1">LeastSq!$AF12</f>
        <v>110.37897887467109</v>
      </c>
      <c r="D14" s="244">
        <f>Transport!I25</f>
        <v>1</v>
      </c>
      <c r="E14" s="241">
        <f t="shared" si="0"/>
        <v>117.72995171430985</v>
      </c>
      <c r="F14" s="247">
        <f ca="1">LeastSq!$AF74</f>
        <v>110.37897887467109</v>
      </c>
      <c r="G14" s="315">
        <f t="shared" ca="1" si="9"/>
        <v>1.0665975796712648</v>
      </c>
      <c r="I14" s="252" t="s">
        <v>503</v>
      </c>
      <c r="J14" s="315">
        <f t="shared" ca="1" si="1"/>
        <v>0.99809388241046193</v>
      </c>
      <c r="K14" s="315">
        <f t="shared" ca="1" si="2"/>
        <v>1.0072040702439737</v>
      </c>
      <c r="L14" s="315">
        <f t="shared" ca="1" si="3"/>
        <v>0.99159116594179975</v>
      </c>
      <c r="M14" s="316">
        <f t="shared" ca="1" si="4"/>
        <v>0.99896303953207843</v>
      </c>
      <c r="N14" s="15"/>
      <c r="O14" s="15">
        <f t="shared" ca="1" si="5"/>
        <v>0.99768774115943937</v>
      </c>
      <c r="P14" s="15"/>
      <c r="Q14" s="96">
        <f>PMPM!C117</f>
        <v>1.02</v>
      </c>
      <c r="S14" s="252" t="s">
        <v>503</v>
      </c>
      <c r="T14" s="246">
        <f t="shared" ca="1" si="6"/>
        <v>1</v>
      </c>
      <c r="U14" s="246">
        <f t="shared" ca="1" si="7"/>
        <v>1.01</v>
      </c>
      <c r="V14" s="246">
        <f t="shared" ca="1" si="8"/>
        <v>0.99</v>
      </c>
      <c r="W14" s="246">
        <f>+PMPM!C117</f>
        <v>1.02</v>
      </c>
      <c r="X14" s="246">
        <f t="shared" ca="1" si="10"/>
        <v>0.99768774115943937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0.99477858603618907</v>
      </c>
      <c r="AE14" s="237">
        <f t="shared" ca="1" si="13"/>
        <v>0.96480565784048045</v>
      </c>
      <c r="AF14" s="237">
        <f t="shared" ca="1" si="14"/>
        <v>0.95753595777605993</v>
      </c>
      <c r="AG14" s="227"/>
      <c r="AH14" s="237">
        <f t="shared" ca="1" si="15"/>
        <v>0.94618288723740607</v>
      </c>
      <c r="AI14" s="237">
        <f t="shared" ca="1" si="16"/>
        <v>0.980328797736012</v>
      </c>
      <c r="AJ14" s="237">
        <f t="shared" ca="1" si="17"/>
        <v>0.94242003885790249</v>
      </c>
      <c r="AK14" s="227"/>
      <c r="AL14" s="261">
        <f t="shared" ca="1" si="18"/>
        <v>0.96325584248670904</v>
      </c>
      <c r="AM14" s="237">
        <f t="shared" ca="1" si="19"/>
        <v>0.94242003885790249</v>
      </c>
      <c r="AN14" s="232" t="s">
        <v>522</v>
      </c>
      <c r="AO14" s="262">
        <f ca="1">AVERAGE(AM11:AM22)</f>
        <v>0.76012338793740353</v>
      </c>
      <c r="AP14" s="261">
        <f t="shared" ca="1" si="20"/>
        <v>0.94618288723740607</v>
      </c>
      <c r="AQ14" s="237">
        <f t="shared" ca="1" si="21"/>
        <v>0.95631057461044022</v>
      </c>
      <c r="AR14" s="232" t="s">
        <v>522</v>
      </c>
      <c r="AS14" s="262">
        <f ca="1">AVERAGE(AQ11:AQ22)</f>
        <v>0.92202491060422498</v>
      </c>
      <c r="AT14" s="261">
        <f t="shared" ca="1" si="22"/>
        <v>0.980328797736012</v>
      </c>
      <c r="AU14" s="237">
        <f t="shared" ca="1" si="23"/>
        <v>0.95631057461044022</v>
      </c>
      <c r="AV14" s="232" t="s">
        <v>522</v>
      </c>
      <c r="AW14" s="262">
        <f ca="1">AVERAGE(AU11:AU22)</f>
        <v>0.92202491060422498</v>
      </c>
      <c r="AX14" s="261">
        <f t="shared" ca="1" si="24"/>
        <v>0.94242003885790249</v>
      </c>
      <c r="AY14" s="237">
        <f t="shared" ca="1" si="25"/>
        <v>0.95631057461044022</v>
      </c>
      <c r="AZ14" s="232" t="s">
        <v>522</v>
      </c>
      <c r="BA14" s="262">
        <f ca="1">AVERAGE(AY11:AY22)</f>
        <v>0.92202491060422498</v>
      </c>
      <c r="BB14" s="246"/>
      <c r="BD14" s="252" t="s">
        <v>503</v>
      </c>
      <c r="BE14" s="315">
        <v>0.93117593513937236</v>
      </c>
      <c r="BF14" s="315">
        <v>1.0624732202058051</v>
      </c>
      <c r="BG14" s="315">
        <v>0.93226824179689272</v>
      </c>
      <c r="BH14" s="315">
        <v>0.97530579904735681</v>
      </c>
      <c r="BI14" s="15"/>
      <c r="BJ14" s="315">
        <v>0.97407352177961348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120.89931746925885</v>
      </c>
      <c r="C15" s="247">
        <f ca="1">LeastSq!$AF13</f>
        <v>111.14376153457208</v>
      </c>
      <c r="D15" s="244">
        <f>Transport!I26</f>
        <v>1</v>
      </c>
      <c r="E15" s="241">
        <f t="shared" si="0"/>
        <v>120.89931746925885</v>
      </c>
      <c r="F15" s="247">
        <f ca="1">LeastSq!$AF75</f>
        <v>111.14376153457208</v>
      </c>
      <c r="G15" s="315">
        <f t="shared" ca="1" si="9"/>
        <v>1.0877742106258679</v>
      </c>
      <c r="I15" s="252" t="s">
        <v>504</v>
      </c>
      <c r="J15" s="315">
        <f t="shared" ca="1" si="1"/>
        <v>0.99477858603618907</v>
      </c>
      <c r="K15" s="315">
        <f t="shared" ca="1" si="2"/>
        <v>0.96480565784048045</v>
      </c>
      <c r="L15" s="315">
        <f t="shared" ca="1" si="3"/>
        <v>0.95753595777605993</v>
      </c>
      <c r="M15" s="316">
        <f t="shared" ca="1" si="4"/>
        <v>0.97237340055090982</v>
      </c>
      <c r="N15" s="15"/>
      <c r="O15" s="15">
        <f t="shared" ca="1" si="5"/>
        <v>0.98444066710454592</v>
      </c>
      <c r="P15" s="15"/>
      <c r="Q15" s="96">
        <f>PMPM!C118</f>
        <v>0.98</v>
      </c>
      <c r="S15" s="252" t="s">
        <v>504</v>
      </c>
      <c r="T15" s="246">
        <f t="shared" ca="1" si="6"/>
        <v>0.99</v>
      </c>
      <c r="U15" s="246">
        <f t="shared" ca="1" si="7"/>
        <v>0.96</v>
      </c>
      <c r="V15" s="246">
        <f ca="1">IF(OR(L15="NA",L15="--"),"",ROUND(L15,2))</f>
        <v>0.96</v>
      </c>
      <c r="W15" s="246">
        <f>+PMPM!C118</f>
        <v>0.98</v>
      </c>
      <c r="X15" s="246">
        <f t="shared" ca="1" si="10"/>
        <v>0.98444066710454592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1.0469811484692559</v>
      </c>
      <c r="AE15" s="237">
        <f t="shared" ca="1" si="13"/>
        <v>1.0845983090544546</v>
      </c>
      <c r="AF15" s="237">
        <f t="shared" ca="1" si="14"/>
        <v>1.0356885945430747</v>
      </c>
      <c r="AG15" s="227"/>
      <c r="AH15" s="237">
        <f t="shared" ca="1" si="15"/>
        <v>0.92831568635820627</v>
      </c>
      <c r="AI15" s="237">
        <f t="shared" ca="1" si="16"/>
        <v>0.99158431933564883</v>
      </c>
      <c r="AJ15" s="237">
        <f t="shared" ca="1" si="17"/>
        <v>0.98116143922157206</v>
      </c>
      <c r="AK15" s="227"/>
      <c r="AL15" s="261">
        <f t="shared" ca="1" si="18"/>
        <v>0.95995000284692755</v>
      </c>
      <c r="AM15" s="237">
        <f t="shared" ca="1" si="19"/>
        <v>0.98116143922157206</v>
      </c>
      <c r="AN15" s="232" t="s">
        <v>523</v>
      </c>
      <c r="AO15" s="262">
        <f ca="1">SUMPRODUCT(AM11:AM22,AM11:AM22)/12</f>
        <v>0.7730077856959664</v>
      </c>
      <c r="AP15" s="261">
        <f t="shared" ca="1" si="20"/>
        <v>0.92831568635820627</v>
      </c>
      <c r="AQ15" s="237">
        <f t="shared" ca="1" si="21"/>
        <v>0.96702048163847565</v>
      </c>
      <c r="AR15" s="232" t="s">
        <v>523</v>
      </c>
      <c r="AS15" s="262">
        <f ca="1">SUMPRODUCT(AQ11:AQ22,AQ11:AQ22)/12</f>
        <v>0.87623027742137394</v>
      </c>
      <c r="AT15" s="261">
        <f t="shared" ca="1" si="22"/>
        <v>0.99158431933564883</v>
      </c>
      <c r="AU15" s="237">
        <f t="shared" ca="1" si="23"/>
        <v>0.96702048163847565</v>
      </c>
      <c r="AV15" s="232" t="s">
        <v>523</v>
      </c>
      <c r="AW15" s="262">
        <f ca="1">SUMPRODUCT(AU11:AU22,AU11:AU22)/12</f>
        <v>0.87623027742137394</v>
      </c>
      <c r="AX15" s="261">
        <f t="shared" ca="1" si="24"/>
        <v>0.98116143922157206</v>
      </c>
      <c r="AY15" s="237">
        <f t="shared" ca="1" si="25"/>
        <v>0.96702048163847565</v>
      </c>
      <c r="AZ15" s="232" t="s">
        <v>523</v>
      </c>
      <c r="BA15" s="262">
        <f ca="1">SUMPRODUCT(AY11:AY22,AY11:AY22)/12</f>
        <v>0.87623027742137394</v>
      </c>
      <c r="BB15" s="246"/>
      <c r="BD15" s="252" t="s">
        <v>504</v>
      </c>
      <c r="BE15" s="315">
        <v>0.95867419194862979</v>
      </c>
      <c r="BF15" s="315">
        <v>1.1727558751617302</v>
      </c>
      <c r="BG15" s="315">
        <v>1.0151176453804742</v>
      </c>
      <c r="BH15" s="315">
        <v>1.0488492374969447</v>
      </c>
      <c r="BI15" s="15"/>
      <c r="BJ15" s="315">
        <v>1.0098212809989611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115.59056958502657</v>
      </c>
      <c r="C16" s="247">
        <f ca="1">LeastSq!$AF14</f>
        <v>111.91384314290373</v>
      </c>
      <c r="D16" s="244">
        <f>Transport!I27</f>
        <v>1</v>
      </c>
      <c r="E16" s="241">
        <f t="shared" si="0"/>
        <v>115.59056958502657</v>
      </c>
      <c r="F16" s="247">
        <f ca="1">LeastSq!$AF76</f>
        <v>111.91384314290373</v>
      </c>
      <c r="G16" s="315">
        <f t="shared" ca="1" si="9"/>
        <v>1.0328531872274995</v>
      </c>
      <c r="I16" s="252" t="s">
        <v>505</v>
      </c>
      <c r="J16" s="315">
        <f t="shared" ca="1" si="1"/>
        <v>1.0469811484692559</v>
      </c>
      <c r="K16" s="315">
        <f t="shared" ca="1" si="2"/>
        <v>1.0845983090544546</v>
      </c>
      <c r="L16" s="315">
        <f t="shared" ca="1" si="3"/>
        <v>1.0356885945430747</v>
      </c>
      <c r="M16" s="316">
        <f t="shared" ca="1" si="4"/>
        <v>1.0557560173555951</v>
      </c>
      <c r="N16" s="15"/>
      <c r="O16" s="15">
        <f t="shared" ca="1" si="5"/>
        <v>1.0259822502935747</v>
      </c>
      <c r="P16" s="15"/>
      <c r="Q16" s="96">
        <f>PMPM!C119</f>
        <v>1.02</v>
      </c>
      <c r="S16" s="252" t="s">
        <v>505</v>
      </c>
      <c r="T16" s="246">
        <f t="shared" ca="1" si="6"/>
        <v>1.05</v>
      </c>
      <c r="U16" s="246">
        <f t="shared" ca="1" si="7"/>
        <v>1.08</v>
      </c>
      <c r="V16" s="246">
        <f t="shared" ref="V16:V20" ca="1" si="27">IF(OR(L16="NA",L16="--"),"",ROUND(L16,2))</f>
        <v>1.04</v>
      </c>
      <c r="W16" s="246">
        <f>+PMPM!C119</f>
        <v>1.02</v>
      </c>
      <c r="X16" s="246">
        <f t="shared" ca="1" si="10"/>
        <v>1.0259822502935747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1.0665975796712648</v>
      </c>
      <c r="AE16" s="237">
        <f t="shared" ca="1" si="13"/>
        <v>1.0464837202987356</v>
      </c>
      <c r="AF16" s="237">
        <f t="shared" ca="1" si="14"/>
        <v>0.99252329305150355</v>
      </c>
      <c r="AG16" s="227"/>
      <c r="AH16" s="237">
        <f t="shared" ca="1" si="15"/>
        <v>0.99809388241046193</v>
      </c>
      <c r="AI16" s="237">
        <f t="shared" ca="1" si="16"/>
        <v>1.0072040702439737</v>
      </c>
      <c r="AJ16" s="237">
        <f t="shared" ca="1" si="17"/>
        <v>0.99159116594179975</v>
      </c>
      <c r="AK16" s="227"/>
      <c r="AL16" s="261">
        <f t="shared" ca="1" si="18"/>
        <v>1.0026489763272179</v>
      </c>
      <c r="AM16" s="237">
        <f t="shared" ca="1" si="19"/>
        <v>0.99159116594179975</v>
      </c>
      <c r="AN16" s="232" t="s">
        <v>524</v>
      </c>
      <c r="AO16" s="262">
        <f ca="1">SUMPRODUCT(AL11:AL22,AM11:AM22)/12</f>
        <v>0.76969705192267579</v>
      </c>
      <c r="AP16" s="261">
        <f t="shared" ca="1" si="20"/>
        <v>0.99809388241046193</v>
      </c>
      <c r="AQ16" s="237">
        <f t="shared" ca="1" si="21"/>
        <v>0.99896303953207843</v>
      </c>
      <c r="AR16" s="232" t="s">
        <v>524</v>
      </c>
      <c r="AS16" s="262">
        <f ca="1">SUMPRODUCT(AP11:AP22,AQ11:AQ22)/12</f>
        <v>0.92890313725048401</v>
      </c>
      <c r="AT16" s="261">
        <f t="shared" ca="1" si="22"/>
        <v>1.0072040702439737</v>
      </c>
      <c r="AU16" s="237">
        <f t="shared" ca="1" si="23"/>
        <v>0.99896303953207843</v>
      </c>
      <c r="AV16" s="232" t="s">
        <v>524</v>
      </c>
      <c r="AW16" s="262">
        <f ca="1">SUMPRODUCT(AT11:AT22,AU11:AU22)/12</f>
        <v>0.92898706516653162</v>
      </c>
      <c r="AX16" s="261">
        <f t="shared" ca="1" si="24"/>
        <v>0.99159116594179975</v>
      </c>
      <c r="AY16" s="237">
        <f t="shared" ca="1" si="25"/>
        <v>0.99896303953207843</v>
      </c>
      <c r="AZ16" s="232" t="s">
        <v>524</v>
      </c>
      <c r="BA16" s="262">
        <f ca="1">SUMPRODUCT(AX11:AX22,AY11:AY22)/12</f>
        <v>0.77080062984710607</v>
      </c>
      <c r="BB16" s="246"/>
      <c r="BD16" s="252" t="s">
        <v>505</v>
      </c>
      <c r="BE16" s="315">
        <v>1.0351644389907984</v>
      </c>
      <c r="BF16" s="315">
        <v>1.1654501232381496</v>
      </c>
      <c r="BG16" s="315">
        <v>0.97682373571351366</v>
      </c>
      <c r="BH16" s="315">
        <v>1.0591460993141537</v>
      </c>
      <c r="BI16" s="15"/>
      <c r="BJ16" s="315">
        <v>1.0148263466406608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113.25598207637394</v>
      </c>
      <c r="C17" s="247">
        <f ca="1">LeastSq!$AF15</f>
        <v>112.68926041448192</v>
      </c>
      <c r="D17" s="244">
        <f>Transport!I28</f>
        <v>1</v>
      </c>
      <c r="E17" s="241">
        <f t="shared" si="0"/>
        <v>113.25598207637394</v>
      </c>
      <c r="F17" s="247">
        <f ca="1">LeastSq!$AF77</f>
        <v>112.68926041448192</v>
      </c>
      <c r="G17" s="315">
        <f t="shared" ca="1" si="9"/>
        <v>1.0050290654123344</v>
      </c>
      <c r="I17" s="252" t="s">
        <v>506</v>
      </c>
      <c r="J17" s="315">
        <f t="shared" ca="1" si="1"/>
        <v>1.0665975796712648</v>
      </c>
      <c r="K17" s="315">
        <f t="shared" ca="1" si="2"/>
        <v>1.0464837202987356</v>
      </c>
      <c r="L17" s="315">
        <f t="shared" ca="1" si="3"/>
        <v>0.99252329305150355</v>
      </c>
      <c r="M17" s="316">
        <f t="shared" ca="1" si="4"/>
        <v>1.0352015310071678</v>
      </c>
      <c r="N17" s="15"/>
      <c r="O17" s="15">
        <f t="shared" ca="1" si="5"/>
        <v>1.0157419155898675</v>
      </c>
      <c r="P17" s="15"/>
      <c r="Q17" s="96">
        <f>PMPM!C120</f>
        <v>0.99</v>
      </c>
      <c r="S17" s="252" t="s">
        <v>506</v>
      </c>
      <c r="T17" s="246">
        <f t="shared" ca="1" si="6"/>
        <v>1.07</v>
      </c>
      <c r="U17" s="246">
        <f t="shared" ca="1" si="7"/>
        <v>1.05</v>
      </c>
      <c r="V17" s="246">
        <f t="shared" ca="1" si="27"/>
        <v>0.99</v>
      </c>
      <c r="W17" s="246">
        <f>+PMPM!C120</f>
        <v>0.99</v>
      </c>
      <c r="X17" s="246">
        <f t="shared" ca="1" si="10"/>
        <v>1.0157419155898675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1.0877742106258679</v>
      </c>
      <c r="AE17" s="237">
        <f t="shared" ca="1" si="13"/>
        <v>1.0537773482635471</v>
      </c>
      <c r="AF17" s="237">
        <f t="shared" ca="1" si="14"/>
        <v>1.1367786437883407</v>
      </c>
      <c r="AG17" s="227"/>
      <c r="AH17" s="237">
        <f t="shared" ca="1" si="15"/>
        <v>0.99477858603618907</v>
      </c>
      <c r="AI17" s="237">
        <f t="shared" ca="1" si="16"/>
        <v>0.96480565784048045</v>
      </c>
      <c r="AJ17" s="237">
        <f t="shared" ca="1" si="17"/>
        <v>0.95753595777605993</v>
      </c>
      <c r="AK17" s="227"/>
      <c r="AL17" s="261">
        <f t="shared" ca="1" si="18"/>
        <v>0.97979212193833476</v>
      </c>
      <c r="AM17" s="237">
        <f t="shared" ca="1" si="19"/>
        <v>0.95753595777605993</v>
      </c>
      <c r="AN17" s="232" t="s">
        <v>525</v>
      </c>
      <c r="AO17" s="262">
        <f ca="1">(AO16-AO12*AO14)/SQRT((AO13-AO12^2)*(AO15-AO14^2))</f>
        <v>0.3239888677832386</v>
      </c>
      <c r="AP17" s="261">
        <f t="shared" ca="1" si="20"/>
        <v>0.99477858603618907</v>
      </c>
      <c r="AQ17" s="237">
        <f t="shared" ca="1" si="21"/>
        <v>0.97237340055090982</v>
      </c>
      <c r="AR17" s="232" t="s">
        <v>525</v>
      </c>
      <c r="AS17" s="262">
        <f ca="1">(AS16-AS12*AS14)/SQRT((AS13-AS12^2)*(AS15-AS14^2))</f>
        <v>0.51318089459815142</v>
      </c>
      <c r="AT17" s="261">
        <f t="shared" ca="1" si="22"/>
        <v>0.96480565784048045</v>
      </c>
      <c r="AU17" s="237">
        <f t="shared" ca="1" si="23"/>
        <v>0.97237340055090982</v>
      </c>
      <c r="AV17" s="232" t="s">
        <v>525</v>
      </c>
      <c r="AW17" s="262">
        <f ca="1">(AW16-AW12*AW14)/SQRT((AW13-AW12^2)*(AW15-AW14^2))</f>
        <v>0.44680676156110427</v>
      </c>
      <c r="AX17" s="261">
        <f t="shared" ca="1" si="24"/>
        <v>0.95753595777605993</v>
      </c>
      <c r="AY17" s="237">
        <f t="shared" ca="1" si="25"/>
        <v>0.97237340055090982</v>
      </c>
      <c r="AZ17" s="232" t="s">
        <v>525</v>
      </c>
      <c r="BA17" s="262">
        <f ca="1">(BA16-BA12*BA14)/SQRT((BA13-BA12^2)*(BA15-BA14^2))</f>
        <v>0.97991719227684659</v>
      </c>
      <c r="BB17" s="246"/>
      <c r="BD17" s="252" t="s">
        <v>506</v>
      </c>
      <c r="BE17" s="315">
        <v>0.91623299066622566</v>
      </c>
      <c r="BF17" s="315">
        <v>1.0746052271686846</v>
      </c>
      <c r="BG17" s="315">
        <v>1.0351708804870157</v>
      </c>
      <c r="BH17" s="315">
        <v>1.0086696994406419</v>
      </c>
      <c r="BI17" s="15"/>
      <c r="BJ17" s="315">
        <v>0.99029093971683724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102.7346430156375</v>
      </c>
      <c r="C18" s="247">
        <f ca="1">LeastSq!$AF16</f>
        <v>113.47005031850811</v>
      </c>
      <c r="D18" s="244">
        <f>Transport!I29</f>
        <v>1</v>
      </c>
      <c r="E18" s="241">
        <f t="shared" si="0"/>
        <v>102.7346430156375</v>
      </c>
      <c r="F18" s="247">
        <f ca="1">LeastSq!$AF78</f>
        <v>113.47005031850811</v>
      </c>
      <c r="G18" s="315">
        <f t="shared" ca="1" si="9"/>
        <v>0.90538994851296406</v>
      </c>
      <c r="I18" s="252" t="s">
        <v>507</v>
      </c>
      <c r="J18" s="315">
        <f t="shared" ca="1" si="1"/>
        <v>1.0877742106258679</v>
      </c>
      <c r="K18" s="315">
        <f t="shared" ca="1" si="2"/>
        <v>1.0537773482635471</v>
      </c>
      <c r="L18" s="315">
        <f t="shared" ca="1" si="3"/>
        <v>1.1367786437883407</v>
      </c>
      <c r="M18" s="316">
        <f t="shared" ca="1" si="4"/>
        <v>1.0927767342259187</v>
      </c>
      <c r="N18" s="15"/>
      <c r="O18" s="15">
        <f t="shared" ca="1" si="5"/>
        <v>1.0444261328259303</v>
      </c>
      <c r="P18" s="15"/>
      <c r="Q18" s="96">
        <f>PMPM!C121</f>
        <v>1.01</v>
      </c>
      <c r="S18" s="252" t="s">
        <v>507</v>
      </c>
      <c r="T18" s="246">
        <f t="shared" ca="1" si="6"/>
        <v>1.0900000000000001</v>
      </c>
      <c r="U18" s="246">
        <f t="shared" ca="1" si="7"/>
        <v>1.05</v>
      </c>
      <c r="V18" s="246">
        <f t="shared" ca="1" si="27"/>
        <v>1.1399999999999999</v>
      </c>
      <c r="W18" s="246">
        <f>+PMPM!C121</f>
        <v>1.01</v>
      </c>
      <c r="X18" s="246">
        <f t="shared" ca="1" si="10"/>
        <v>1.0444261328259303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1.0328531872274995</v>
      </c>
      <c r="AE18" s="237">
        <f t="shared" ca="1" si="13"/>
        <v>0.98315865186099005</v>
      </c>
      <c r="AF18" s="237">
        <f t="shared" ca="1" si="14"/>
        <v>1.0868364234527954</v>
      </c>
      <c r="AG18" s="227"/>
      <c r="AH18" s="237">
        <f t="shared" ca="1" si="15"/>
        <v>1.0469811484692559</v>
      </c>
      <c r="AI18" s="237">
        <f t="shared" ca="1" si="16"/>
        <v>1.0845983090544546</v>
      </c>
      <c r="AJ18" s="237">
        <f t="shared" ca="1" si="17"/>
        <v>1.0356885945430747</v>
      </c>
      <c r="AK18" s="227"/>
      <c r="AL18" s="261">
        <f t="shared" ca="1" si="18"/>
        <v>1.0657897287618554</v>
      </c>
      <c r="AM18" s="237">
        <f t="shared" ca="1" si="19"/>
        <v>1.0356885945430747</v>
      </c>
      <c r="AN18" s="227"/>
      <c r="AO18" s="263"/>
      <c r="AP18" s="261">
        <f t="shared" ca="1" si="20"/>
        <v>1.0469811484692559</v>
      </c>
      <c r="AQ18" s="237">
        <f t="shared" ca="1" si="21"/>
        <v>1.0557560173555951</v>
      </c>
      <c r="AR18" s="227"/>
      <c r="AS18" s="263"/>
      <c r="AT18" s="261">
        <f t="shared" ca="1" si="22"/>
        <v>1.0845983090544546</v>
      </c>
      <c r="AU18" s="237">
        <f t="shared" ca="1" si="23"/>
        <v>1.0557560173555951</v>
      </c>
      <c r="AV18" s="227"/>
      <c r="AW18" s="263"/>
      <c r="AX18" s="261">
        <f t="shared" ca="1" si="24"/>
        <v>1.0356885945430747</v>
      </c>
      <c r="AY18" s="237">
        <f t="shared" ca="1" si="25"/>
        <v>1.0557560173555951</v>
      </c>
      <c r="AZ18" s="227"/>
      <c r="BA18" s="263"/>
      <c r="BB18" s="246"/>
      <c r="BD18" s="252" t="s">
        <v>507</v>
      </c>
      <c r="BE18" s="315">
        <v>1.0659470686520951</v>
      </c>
      <c r="BF18" s="315">
        <v>1.1698224372440675</v>
      </c>
      <c r="BG18" s="315">
        <v>1.1329198996779348</v>
      </c>
      <c r="BH18" s="315">
        <v>1.1228964685246992</v>
      </c>
      <c r="BI18" s="15"/>
      <c r="BJ18" s="315">
        <v>1.0458139221025458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106.26468310460019</v>
      </c>
      <c r="C19" s="247">
        <f ca="1">LeastSq!$AF17</f>
        <v>114.25625008033253</v>
      </c>
      <c r="D19" s="244">
        <f>Transport!I30</f>
        <v>1</v>
      </c>
      <c r="E19" s="241">
        <f t="shared" si="0"/>
        <v>106.26468310460019</v>
      </c>
      <c r="F19" s="247">
        <f ca="1">LeastSq!$AF79</f>
        <v>114.25625008033253</v>
      </c>
      <c r="G19" s="315">
        <f t="shared" ca="1" si="9"/>
        <v>0.93005575651123207</v>
      </c>
      <c r="I19" s="252" t="s">
        <v>508</v>
      </c>
      <c r="J19" s="315">
        <f t="shared" ca="1" si="1"/>
        <v>1.0328531872274995</v>
      </c>
      <c r="K19" s="315">
        <f t="shared" ca="1" si="2"/>
        <v>0.98315865186099005</v>
      </c>
      <c r="L19" s="315">
        <f t="shared" ca="1" si="3"/>
        <v>1.0868364234527954</v>
      </c>
      <c r="M19" s="316">
        <f t="shared" ca="1" si="4"/>
        <v>1.0342827541804283</v>
      </c>
      <c r="N19" s="15"/>
      <c r="O19" s="15">
        <f t="shared" ca="1" si="5"/>
        <v>1.0152841769694838</v>
      </c>
      <c r="P19" s="15"/>
      <c r="Q19" s="96">
        <f>PMPM!C122</f>
        <v>0.98</v>
      </c>
      <c r="S19" s="252" t="s">
        <v>508</v>
      </c>
      <c r="T19" s="246">
        <f t="shared" ca="1" si="6"/>
        <v>1.03</v>
      </c>
      <c r="U19" s="246">
        <f t="shared" ca="1" si="7"/>
        <v>0.98</v>
      </c>
      <c r="V19" s="246">
        <f t="shared" ca="1" si="27"/>
        <v>1.0900000000000001</v>
      </c>
      <c r="W19" s="246">
        <f>+PMPM!C122</f>
        <v>0.98</v>
      </c>
      <c r="X19" s="246">
        <f t="shared" ca="1" si="10"/>
        <v>1.0152841769694838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1.0050290654123344</v>
      </c>
      <c r="AE19" s="237">
        <f t="shared" ca="1" si="13"/>
        <v>0.97915838080835615</v>
      </c>
      <c r="AF19" s="237">
        <f t="shared" ca="1" si="14"/>
        <v>0.99694509861579217</v>
      </c>
      <c r="AG19" s="227"/>
      <c r="AH19" s="237">
        <f t="shared" ca="1" si="15"/>
        <v>1.0665975796712648</v>
      </c>
      <c r="AI19" s="237">
        <f t="shared" ca="1" si="16"/>
        <v>1.0464837202987356</v>
      </c>
      <c r="AJ19" s="237">
        <f t="shared" ca="1" si="17"/>
        <v>0.99252329305150355</v>
      </c>
      <c r="AK19" s="227"/>
      <c r="AL19" s="261">
        <f t="shared" ca="1" si="18"/>
        <v>1.0565406499850001</v>
      </c>
      <c r="AM19" s="237">
        <f t="shared" ca="1" si="19"/>
        <v>0.99252329305150355</v>
      </c>
      <c r="AN19" s="227"/>
      <c r="AO19" s="263"/>
      <c r="AP19" s="261">
        <f t="shared" ca="1" si="20"/>
        <v>1.0665975796712648</v>
      </c>
      <c r="AQ19" s="237">
        <f t="shared" ca="1" si="21"/>
        <v>1.0352015310071678</v>
      </c>
      <c r="AR19" s="227"/>
      <c r="AS19" s="263"/>
      <c r="AT19" s="261">
        <f t="shared" ca="1" si="22"/>
        <v>1.0464837202987356</v>
      </c>
      <c r="AU19" s="237">
        <f t="shared" ca="1" si="23"/>
        <v>1.0352015310071678</v>
      </c>
      <c r="AV19" s="227"/>
      <c r="AW19" s="263"/>
      <c r="AX19" s="261">
        <f t="shared" ca="1" si="24"/>
        <v>0.99252329305150355</v>
      </c>
      <c r="AY19" s="237">
        <f t="shared" ca="1" si="25"/>
        <v>1.0352015310071678</v>
      </c>
      <c r="AZ19" s="227"/>
      <c r="BA19" s="263"/>
      <c r="BB19" s="246"/>
      <c r="BD19" s="252" t="s">
        <v>508</v>
      </c>
      <c r="BE19" s="315">
        <v>0.95971431707741051</v>
      </c>
      <c r="BF19" s="315">
        <v>1.0340682806126948</v>
      </c>
      <c r="BG19" s="315">
        <v>1.0130936045193262</v>
      </c>
      <c r="BH19" s="315">
        <v>1.0022920674031439</v>
      </c>
      <c r="BI19" s="15"/>
      <c r="BJ19" s="315">
        <v>0.98719092074475234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124.49229284762997</v>
      </c>
      <c r="C20" s="247">
        <f ca="1">LeastSq!$AF18</f>
        <v>115.04789718322851</v>
      </c>
      <c r="D20" s="244">
        <f>Transport!I31</f>
        <v>1</v>
      </c>
      <c r="E20" s="241">
        <f t="shared" si="0"/>
        <v>124.49229284762997</v>
      </c>
      <c r="F20" s="247">
        <f ca="1">LeastSq!$AF80</f>
        <v>115.04789718322851</v>
      </c>
      <c r="G20" s="315">
        <f t="shared" ca="1" si="9"/>
        <v>1.0820909890196433</v>
      </c>
      <c r="I20" s="252" t="s">
        <v>509</v>
      </c>
      <c r="J20" s="315">
        <f t="shared" ca="1" si="1"/>
        <v>1.0050290654123344</v>
      </c>
      <c r="K20" s="315">
        <f t="shared" ca="1" si="2"/>
        <v>0.97915838080835615</v>
      </c>
      <c r="L20" s="315">
        <f t="shared" ca="1" si="3"/>
        <v>0.99694509861579217</v>
      </c>
      <c r="M20" s="316">
        <f t="shared" ca="1" si="4"/>
        <v>0.99371084827882761</v>
      </c>
      <c r="N20" s="15"/>
      <c r="O20" s="585">
        <f t="shared" ca="1" si="5"/>
        <v>0.99507107658074556</v>
      </c>
      <c r="P20" s="15"/>
      <c r="Q20" s="96">
        <f>PMPM!C123</f>
        <v>0.95</v>
      </c>
      <c r="S20" s="252" t="s">
        <v>509</v>
      </c>
      <c r="T20" s="246">
        <f ca="1">IF(J20="NA","",ROUND(J20,2))</f>
        <v>1.01</v>
      </c>
      <c r="U20" s="246">
        <f t="shared" ca="1" si="7"/>
        <v>0.98</v>
      </c>
      <c r="V20" s="246">
        <f t="shared" ca="1" si="27"/>
        <v>1</v>
      </c>
      <c r="W20" s="246">
        <f>+PMPM!C123</f>
        <v>0.95</v>
      </c>
      <c r="X20" s="246">
        <f t="shared" ca="1" si="10"/>
        <v>0.99507107658074556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0.90538994851296406</v>
      </c>
      <c r="AE20" s="237">
        <f t="shared" ca="1" si="13"/>
        <v>0.94111715175604305</v>
      </c>
      <c r="AF20" s="237">
        <f t="shared" si="14"/>
        <v>0</v>
      </c>
      <c r="AG20" s="227"/>
      <c r="AH20" s="237">
        <f t="shared" ca="1" si="15"/>
        <v>1.0877742106258679</v>
      </c>
      <c r="AI20" s="237">
        <f t="shared" ca="1" si="16"/>
        <v>1.0537773482635471</v>
      </c>
      <c r="AJ20" s="237">
        <f t="shared" ca="1" si="17"/>
        <v>1.1367786437883407</v>
      </c>
      <c r="AK20" s="227"/>
      <c r="AL20" s="261">
        <f t="shared" ca="1" si="18"/>
        <v>1.0707757794447075</v>
      </c>
      <c r="AM20" s="237">
        <f t="shared" ca="1" si="19"/>
        <v>1.1367786437883407</v>
      </c>
      <c r="AN20" s="227"/>
      <c r="AO20" s="263"/>
      <c r="AP20" s="261">
        <f t="shared" ca="1" si="20"/>
        <v>1.0877742106258679</v>
      </c>
      <c r="AQ20" s="237">
        <f t="shared" ca="1" si="21"/>
        <v>1.0927767342259187</v>
      </c>
      <c r="AR20" s="227"/>
      <c r="AS20" s="263"/>
      <c r="AT20" s="261">
        <f t="shared" ca="1" si="22"/>
        <v>1.0537773482635471</v>
      </c>
      <c r="AU20" s="237">
        <f t="shared" ca="1" si="23"/>
        <v>1.0927767342259187</v>
      </c>
      <c r="AV20" s="227"/>
      <c r="AW20" s="263"/>
      <c r="AX20" s="261">
        <f t="shared" ca="1" si="24"/>
        <v>1.1367786437883407</v>
      </c>
      <c r="AY20" s="237">
        <f t="shared" ca="1" si="25"/>
        <v>1.0927767342259187</v>
      </c>
      <c r="AZ20" s="227"/>
      <c r="BA20" s="263"/>
      <c r="BB20" s="246"/>
      <c r="BD20" s="252" t="s">
        <v>509</v>
      </c>
      <c r="BE20" s="315">
        <v>0.92047272205742747</v>
      </c>
      <c r="BF20" s="315">
        <v>1.0864241152193934</v>
      </c>
      <c r="BG20" s="315">
        <v>1.0150447397398557</v>
      </c>
      <c r="BH20" s="315">
        <v>1.0073138590055588</v>
      </c>
      <c r="BI20" s="15"/>
      <c r="BJ20" s="315">
        <v>0.98963189713690081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113.56621836616137</v>
      </c>
      <c r="C21" s="247">
        <f ca="1">LeastSq!$AF19</f>
        <v>115.8450293701798</v>
      </c>
      <c r="D21" s="244">
        <f>Transport!I32</f>
        <v>1</v>
      </c>
      <c r="E21" s="241">
        <f t="shared" si="0"/>
        <v>113.56621836616137</v>
      </c>
      <c r="F21" s="247">
        <f ca="1">LeastSq!$AF81</f>
        <v>115.8450293701798</v>
      </c>
      <c r="G21" s="315">
        <f t="shared" ca="1" si="9"/>
        <v>0.980328797736012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0.93005575651123207</v>
      </c>
      <c r="AE21" s="237">
        <f t="shared" ca="1" si="13"/>
        <v>0.94642998197144323</v>
      </c>
      <c r="AF21" s="237">
        <f t="shared" si="14"/>
        <v>0</v>
      </c>
      <c r="AG21" s="227"/>
      <c r="AH21" s="237">
        <f t="shared" ca="1" si="15"/>
        <v>1.0328531872274995</v>
      </c>
      <c r="AI21" s="237">
        <f t="shared" ca="1" si="16"/>
        <v>0.98315865186099005</v>
      </c>
      <c r="AJ21" s="237">
        <f t="shared" ca="1" si="17"/>
        <v>1.0868364234527954</v>
      </c>
      <c r="AK21" s="227"/>
      <c r="AL21" s="261">
        <f t="shared" ca="1" si="18"/>
        <v>1.0080059195442448</v>
      </c>
      <c r="AM21" s="237">
        <f t="shared" ca="1" si="19"/>
        <v>1.0868364234527954</v>
      </c>
      <c r="AN21" s="227"/>
      <c r="AO21" s="263"/>
      <c r="AP21" s="261">
        <f t="shared" ca="1" si="20"/>
        <v>1.0328531872274995</v>
      </c>
      <c r="AQ21" s="237">
        <f t="shared" ca="1" si="21"/>
        <v>1.0342827541804283</v>
      </c>
      <c r="AR21" s="227"/>
      <c r="AS21" s="263"/>
      <c r="AT21" s="261">
        <f t="shared" ca="1" si="22"/>
        <v>0.98315865186099005</v>
      </c>
      <c r="AU21" s="237">
        <f t="shared" ca="1" si="23"/>
        <v>1.0342827541804283</v>
      </c>
      <c r="AV21" s="227"/>
      <c r="AW21" s="263"/>
      <c r="AX21" s="261">
        <f t="shared" ca="1" si="24"/>
        <v>1.0868364234527954</v>
      </c>
      <c r="AY21" s="237">
        <f t="shared" ca="1" si="25"/>
        <v>1.0342827541804283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115.66601498146562</v>
      </c>
      <c r="C22" s="247">
        <f ca="1">LeastSq!$AF20</f>
        <v>116.6476846456796</v>
      </c>
      <c r="D22" s="244">
        <f>Transport!I33</f>
        <v>1</v>
      </c>
      <c r="E22" s="241">
        <f t="shared" si="0"/>
        <v>115.66601498146562</v>
      </c>
      <c r="F22" s="247">
        <f ca="1">LeastSq!$AF82</f>
        <v>116.6476846456796</v>
      </c>
      <c r="G22" s="315">
        <f t="shared" ca="1" si="9"/>
        <v>0.99158431933564883</v>
      </c>
      <c r="I22" s="252" t="s">
        <v>86</v>
      </c>
      <c r="J22" s="246">
        <f ca="1">SUM(J9:J21)</f>
        <v>12.024142927492324</v>
      </c>
      <c r="K22" s="246">
        <f ca="1">SUM(K9:K21)</f>
        <v>12.04727319901094</v>
      </c>
      <c r="L22" s="246">
        <f ca="1">SUM(L9:L21)</f>
        <v>9.1214806552488419</v>
      </c>
      <c r="M22" s="15">
        <f ca="1">SUM(M9:M21)</f>
        <v>12.04325070018613</v>
      </c>
      <c r="N22" s="15"/>
      <c r="O22" s="15">
        <f ca="1">SUM(O9:O21)</f>
        <v>12.000000000000004</v>
      </c>
      <c r="P22" s="15"/>
      <c r="Q22" s="15">
        <f>SUM(Q9:Q21)</f>
        <v>12</v>
      </c>
      <c r="S22" s="250" t="s">
        <v>548</v>
      </c>
      <c r="V22" s="141">
        <f ca="1">MIN(T9:V20)</f>
        <v>0.91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1.0820909890196433</v>
      </c>
      <c r="AE22" s="237">
        <f t="shared" ca="1" si="13"/>
        <v>1.0686268098412546</v>
      </c>
      <c r="AF22" s="237">
        <f t="shared" si="14"/>
        <v>0</v>
      </c>
      <c r="AG22" s="227"/>
      <c r="AH22" s="237">
        <f t="shared" ca="1" si="15"/>
        <v>1.0050290654123344</v>
      </c>
      <c r="AI22" s="237">
        <f t="shared" ca="1" si="16"/>
        <v>0.97915838080835615</v>
      </c>
      <c r="AJ22" s="237">
        <f t="shared" ca="1" si="17"/>
        <v>0.99694509861579217</v>
      </c>
      <c r="AK22" s="227"/>
      <c r="AL22" s="264">
        <f t="shared" ca="1" si="18"/>
        <v>0.99209372311034527</v>
      </c>
      <c r="AM22" s="265">
        <f t="shared" ca="1" si="19"/>
        <v>0.99694509861579217</v>
      </c>
      <c r="AN22" s="266"/>
      <c r="AO22" s="267"/>
      <c r="AP22" s="264">
        <f t="shared" ca="1" si="20"/>
        <v>1.0050290654123344</v>
      </c>
      <c r="AQ22" s="265">
        <f t="shared" ca="1" si="21"/>
        <v>0.99371084827882761</v>
      </c>
      <c r="AR22" s="266"/>
      <c r="AS22" s="267"/>
      <c r="AT22" s="264">
        <f t="shared" ca="1" si="22"/>
        <v>0.97915838080835615</v>
      </c>
      <c r="AU22" s="265">
        <f t="shared" ca="1" si="23"/>
        <v>0.99371084827882761</v>
      </c>
      <c r="AV22" s="266"/>
      <c r="AW22" s="267"/>
      <c r="AX22" s="264">
        <f t="shared" ca="1" si="24"/>
        <v>0.99694509861579217</v>
      </c>
      <c r="AY22" s="265">
        <f t="shared" ca="1" si="25"/>
        <v>0.99371084827882761</v>
      </c>
      <c r="AZ22" s="266"/>
      <c r="BA22" s="267"/>
      <c r="BD22" s="252" t="s">
        <v>86</v>
      </c>
      <c r="BE22" s="246">
        <v>11.734236822286872</v>
      </c>
      <c r="BF22" s="246">
        <v>13.057254459808414</v>
      </c>
      <c r="BG22" s="246">
        <v>7.1204387473150126</v>
      </c>
      <c r="BH22" s="246">
        <v>12.343728399588898</v>
      </c>
      <c r="BI22" s="15"/>
      <c r="BJ22" s="15">
        <v>12.000000000000002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118.30206184091573</v>
      </c>
      <c r="C23" s="247">
        <f ca="1">LeastSq!$AF21</f>
        <v>117.45590127754306</v>
      </c>
      <c r="D23" s="244">
        <f>Transport!I34</f>
        <v>1</v>
      </c>
      <c r="E23" s="241">
        <f t="shared" si="0"/>
        <v>118.30206184091573</v>
      </c>
      <c r="F23" s="247">
        <f ca="1">LeastSq!$AF83</f>
        <v>117.45590127754306</v>
      </c>
      <c r="G23" s="315">
        <f t="shared" ca="1" si="9"/>
        <v>1.0072040702439737</v>
      </c>
      <c r="J23" s="227"/>
      <c r="L23" s="227"/>
      <c r="M23" s="227"/>
      <c r="N23" s="227"/>
      <c r="S23" t="s">
        <v>549</v>
      </c>
      <c r="V23" s="141">
        <f ca="1">MAX(T9:V20)</f>
        <v>1.1399999999999999</v>
      </c>
    </row>
    <row r="24" spans="1:64" x14ac:dyDescent="0.2">
      <c r="A24" s="243">
        <f>Transport!A35</f>
        <v>44743</v>
      </c>
      <c r="B24" s="241">
        <f>Transport!$F35</f>
        <v>114.10729288341315</v>
      </c>
      <c r="C24" s="247">
        <f ca="1">LeastSq!$AF22</f>
        <v>118.26971779873153</v>
      </c>
      <c r="D24" s="244">
        <f>Transport!I35</f>
        <v>1</v>
      </c>
      <c r="E24" s="241">
        <f t="shared" si="0"/>
        <v>114.10729288341315</v>
      </c>
      <c r="F24" s="247">
        <f ca="1">LeastSq!$AF84</f>
        <v>118.26971779873153</v>
      </c>
      <c r="G24" s="315">
        <f t="shared" ca="1" si="9"/>
        <v>0.96480565784048045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129.16391567246009</v>
      </c>
      <c r="C25" s="247">
        <f ca="1">LeastSq!$AF23</f>
        <v>119.08917300918928</v>
      </c>
      <c r="D25" s="244">
        <f>Transport!I36</f>
        <v>1</v>
      </c>
      <c r="E25" s="241">
        <f t="shared" si="0"/>
        <v>129.16391567246009</v>
      </c>
      <c r="F25" s="247">
        <f ca="1">LeastSq!$AF85</f>
        <v>119.08917300918928</v>
      </c>
      <c r="G25" s="315">
        <f t="shared" ca="1" si="9"/>
        <v>1.0845983090544546</v>
      </c>
      <c r="K25" s="227"/>
      <c r="S25" s="1" t="s">
        <v>557</v>
      </c>
      <c r="V25" s="152">
        <f ca="1">ABS(1-V22)</f>
        <v>8.9999999999999969E-2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125.48836903657812</v>
      </c>
      <c r="C26" s="247">
        <f ca="1">LeastSq!$AF24</f>
        <v>119.914305977694</v>
      </c>
      <c r="D26" s="244">
        <f>Transport!I37</f>
        <v>1</v>
      </c>
      <c r="E26" s="241">
        <f t="shared" si="0"/>
        <v>125.48836903657812</v>
      </c>
      <c r="F26" s="247">
        <f ca="1">LeastSq!$AF86</f>
        <v>119.914305977694</v>
      </c>
      <c r="G26" s="315">
        <f t="shared" ca="1" si="9"/>
        <v>1.0464837202987356</v>
      </c>
      <c r="K26" s="227"/>
      <c r="S26" s="1" t="s">
        <v>557</v>
      </c>
      <c r="V26" s="152">
        <f ca="1">ABS(1-V23)</f>
        <v>0.1399999999999999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127.23851035141863</v>
      </c>
      <c r="C27" s="247">
        <f ca="1">LeastSq!$AF25</f>
        <v>120.74515604371921</v>
      </c>
      <c r="D27" s="244">
        <f>Transport!I38</f>
        <v>1</v>
      </c>
      <c r="E27" s="241">
        <f t="shared" si="0"/>
        <v>127.23851035141863</v>
      </c>
      <c r="F27" s="247">
        <f ca="1">LeastSq!$AF87</f>
        <v>120.74515604371921</v>
      </c>
      <c r="G27" s="315">
        <f t="shared" ca="1" si="9"/>
        <v>1.0537773482635471</v>
      </c>
      <c r="S27" t="s">
        <v>558</v>
      </c>
      <c r="V27" s="152">
        <f ca="1">MAX(V25:V26)</f>
        <v>0.1399999999999999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119.53416202431487</v>
      </c>
      <c r="C28" s="247">
        <f ca="1">LeastSq!$AF26</f>
        <v>121.58176281930939</v>
      </c>
      <c r="D28" s="244">
        <f>Transport!I39</f>
        <v>1</v>
      </c>
      <c r="E28" s="241">
        <f t="shared" si="0"/>
        <v>119.53416202431487</v>
      </c>
      <c r="F28" s="247">
        <f ca="1">LeastSq!$AF88</f>
        <v>121.58176281930939</v>
      </c>
      <c r="G28" s="315">
        <f t="shared" ca="1" si="9"/>
        <v>0.98315865186099005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0.18199999999999988</v>
      </c>
    </row>
    <row r="29" spans="1:64" x14ac:dyDescent="0.2">
      <c r="A29" s="243">
        <f>Transport!A40</f>
        <v>44896</v>
      </c>
      <c r="B29" s="241">
        <f>Transport!$F40</f>
        <v>119.87264833936263</v>
      </c>
      <c r="C29" s="247">
        <f ca="1">LeastSq!$AF27</f>
        <v>122.42416619096933</v>
      </c>
      <c r="D29" s="244">
        <f>Transport!I40</f>
        <v>1</v>
      </c>
      <c r="E29" s="241">
        <f t="shared" si="0"/>
        <v>119.87264833936263</v>
      </c>
      <c r="F29" s="247">
        <f ca="1">LeastSq!$AF89</f>
        <v>122.42416619096933</v>
      </c>
      <c r="G29" s="315">
        <f t="shared" ca="1" si="9"/>
        <v>0.97915838080835615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116.01377592746509</v>
      </c>
      <c r="C30" s="247">
        <f ca="1">LeastSq!$AF28</f>
        <v>123.27240632156521</v>
      </c>
      <c r="D30" s="244">
        <f>Transport!I41</f>
        <v>1</v>
      </c>
      <c r="E30" s="241">
        <f t="shared" si="0"/>
        <v>116.01377592746509</v>
      </c>
      <c r="F30" s="247">
        <f ca="1">LeastSq!$AF90</f>
        <v>123.27240632156521</v>
      </c>
      <c r="G30" s="315">
        <f t="shared" ca="1" si="9"/>
        <v>0.94111715175604305</v>
      </c>
      <c r="J30" s="227"/>
      <c r="K30" s="227"/>
      <c r="L30" s="227"/>
      <c r="M30" s="227"/>
      <c r="S30" t="s">
        <v>559</v>
      </c>
      <c r="V30" s="152">
        <f ca="1">MAX(INT((1-V28)*20)/20,0)</f>
        <v>0.8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117.47706354236719</v>
      </c>
      <c r="C31" s="247">
        <f ca="1">LeastSq!$AF29</f>
        <v>124.12652365223975</v>
      </c>
      <c r="D31" s="244">
        <f>Transport!I42</f>
        <v>1</v>
      </c>
      <c r="E31" s="241">
        <f t="shared" si="0"/>
        <v>117.47706354236719</v>
      </c>
      <c r="F31" s="247">
        <f ca="1">LeastSq!$AF91</f>
        <v>124.12652365223975</v>
      </c>
      <c r="G31" s="315">
        <f t="shared" ca="1" si="9"/>
        <v>0.94642998197144323</v>
      </c>
      <c r="J31" s="227"/>
      <c r="K31" s="227"/>
      <c r="L31" s="227"/>
      <c r="M31" s="227"/>
      <c r="S31" t="s">
        <v>560</v>
      </c>
      <c r="V31" s="270">
        <f ca="1">1+V28</f>
        <v>1.1819999999999999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133.5639877149807</v>
      </c>
      <c r="C32" s="247">
        <f ca="1">LeastSq!$AF30</f>
        <v>124.9865589043398</v>
      </c>
      <c r="D32" s="244">
        <f>Transport!I43</f>
        <v>1</v>
      </c>
      <c r="E32" s="241">
        <f t="shared" si="0"/>
        <v>133.5639877149807</v>
      </c>
      <c r="F32" s="247">
        <f ca="1">LeastSq!$AF92</f>
        <v>124.9865589043398</v>
      </c>
      <c r="G32" s="315">
        <f t="shared" ca="1" si="9"/>
        <v>1.0686268098412546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118.6059679653001</v>
      </c>
      <c r="C33" s="247">
        <f ca="1">LeastSq!$AF31</f>
        <v>125.85255308135848</v>
      </c>
      <c r="D33" s="244">
        <f>Transport!I44</f>
        <v>1</v>
      </c>
      <c r="E33" s="241">
        <f t="shared" ca="1" si="0"/>
        <v>118.6059679653001</v>
      </c>
      <c r="F33" s="247">
        <f ca="1">LeastSq!$AF93</f>
        <v>125.85255308135848</v>
      </c>
      <c r="G33" s="315">
        <f t="shared" ca="1" si="9"/>
        <v>0.94242003885790249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124.33723938124062</v>
      </c>
      <c r="C34" s="247">
        <f ca="1">LeastSq!$AF32</f>
        <v>126.72454747088976</v>
      </c>
      <c r="D34" s="244">
        <f>Transport!I45</f>
        <v>1</v>
      </c>
      <c r="E34" s="241">
        <f t="shared" ca="1" si="0"/>
        <v>124.33723938124062</v>
      </c>
      <c r="F34" s="247">
        <f ca="1">LeastSq!$AF94</f>
        <v>126.72454747088976</v>
      </c>
      <c r="G34" s="315">
        <f t="shared" ca="1" si="9"/>
        <v>0.98116143922157206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126.52959469531471</v>
      </c>
      <c r="C35" s="247">
        <f ca="1">LeastSq!$AF33</f>
        <v>127.60258364659656</v>
      </c>
      <c r="D35" s="244">
        <f>Transport!I46</f>
        <v>1</v>
      </c>
      <c r="E35" s="241">
        <f t="shared" ca="1" si="0"/>
        <v>126.52959469531471</v>
      </c>
      <c r="F35" s="247">
        <f ca="1">LeastSq!$AF95</f>
        <v>127.60258364659656</v>
      </c>
      <c r="G35" s="315">
        <f t="shared" ca="1" si="9"/>
        <v>0.99159116594179975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123.03063866882034</v>
      </c>
      <c r="C36" s="247">
        <f ca="1">LeastSq!$AF34</f>
        <v>128.4867034701935</v>
      </c>
      <c r="D36" s="244">
        <f>Transport!I47</f>
        <v>1</v>
      </c>
      <c r="E36" s="241">
        <f t="shared" ca="1" si="0"/>
        <v>123.03063866882034</v>
      </c>
      <c r="F36" s="247">
        <f ca="1">LeastSq!$AF96</f>
        <v>128.4867034701935</v>
      </c>
      <c r="G36" s="315">
        <f t="shared" ca="1" si="9"/>
        <v>0.95753595777605993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133.99423057285816</v>
      </c>
      <c r="C37" s="247">
        <f ca="1">LeastSq!$AF35</f>
        <v>129.37694909344228</v>
      </c>
      <c r="D37" s="244">
        <f>Transport!I48</f>
        <v>1</v>
      </c>
      <c r="E37" s="241">
        <f t="shared" ca="1" si="0"/>
        <v>133.99423057285816</v>
      </c>
      <c r="F37" s="247">
        <f ca="1">LeastSq!$AF97</f>
        <v>129.37694909344228</v>
      </c>
      <c r="G37" s="315">
        <f t="shared" ca="1" si="9"/>
        <v>1.0356885945430747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129.29934720211332</v>
      </c>
      <c r="C38" s="247">
        <f ca="1">LeastSq!$AF36</f>
        <v>130.27336296016156</v>
      </c>
      <c r="D38" s="244">
        <f>Transport!I49</f>
        <v>1</v>
      </c>
      <c r="E38" s="241">
        <f t="shared" ca="1" si="0"/>
        <v>129.29934720211332</v>
      </c>
      <c r="F38" s="247">
        <f ca="1">LeastSq!$AF98</f>
        <v>130.27336296016156</v>
      </c>
      <c r="G38" s="315">
        <f t="shared" ca="1" si="9"/>
        <v>0.99252329305150355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149.11806151825849</v>
      </c>
      <c r="C39" s="247">
        <f ca="1">LeastSq!$AF37</f>
        <v>131.17598780825011</v>
      </c>
      <c r="D39" s="244">
        <f>Transport!I50</f>
        <v>1</v>
      </c>
      <c r="E39" s="241">
        <f t="shared" ca="1" si="0"/>
        <v>149.11806151825849</v>
      </c>
      <c r="F39" s="247">
        <f ca="1">LeastSq!$AF99</f>
        <v>131.17598780825011</v>
      </c>
      <c r="G39" s="315">
        <f t="shared" ca="1" si="9"/>
        <v>1.1367786437883407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143.55464408573698</v>
      </c>
      <c r="C40" s="247">
        <f ca="1">LeastSq!$AF38</f>
        <v>132.08486667172505</v>
      </c>
      <c r="D40" s="244">
        <f>Transport!I51</f>
        <v>1</v>
      </c>
      <c r="E40" s="241">
        <f t="shared" ca="1" si="0"/>
        <v>143.55464408573698</v>
      </c>
      <c r="F40" s="247">
        <f ca="1">LeastSq!$AF100</f>
        <v>132.08486667172505</v>
      </c>
      <c r="G40" s="315">
        <f t="shared" ca="1" si="9"/>
        <v>1.0868364234527954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132.5937408676709</v>
      </c>
      <c r="C41" s="247">
        <f ca="1">LeastSq!$AF39</f>
        <v>133.00004288277319</v>
      </c>
      <c r="D41" s="244">
        <f>Transport!I52</f>
        <v>1</v>
      </c>
      <c r="E41" s="241">
        <f t="shared" ca="1" si="0"/>
        <v>132.5937408676709</v>
      </c>
      <c r="F41" s="247">
        <f ca="1">LeastSq!$AF101</f>
        <v>133.00004288277319</v>
      </c>
      <c r="G41" s="315">
        <f t="shared" ca="1" si="9"/>
        <v>0.99694509861579217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127.00956481623867</v>
      </c>
      <c r="C42" s="247">
        <f ca="1">LeastSq!$AF40</f>
        <v>133.92156007381666</v>
      </c>
      <c r="D42" s="244">
        <f>Transport!I53</f>
        <v>1</v>
      </c>
      <c r="E42" s="241">
        <f t="shared" ca="1" si="0"/>
        <v>127.00956481623867</v>
      </c>
      <c r="F42" s="247">
        <f ca="1">LeastSq!$AF102</f>
        <v>133.92156007381666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119.78322264291478</v>
      </c>
      <c r="C43" s="247">
        <f ca="1">LeastSq!$AF41</f>
        <v>134.84946217959387</v>
      </c>
      <c r="D43" s="244">
        <f>Transport!I54</f>
        <v>1</v>
      </c>
      <c r="E43" s="241">
        <f t="shared" ca="1" si="0"/>
        <v>119.78322264291478</v>
      </c>
      <c r="F43" s="247">
        <f ca="1">LeastSq!$AF103</f>
        <v>134.84946217959387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139.77999937419818</v>
      </c>
      <c r="C44" s="247">
        <f ca="1">LeastSq!$AF42</f>
        <v>135.78379343925363</v>
      </c>
      <c r="D44" s="244">
        <f>Transport!I55</f>
        <v>1</v>
      </c>
      <c r="E44" s="241">
        <f t="shared" ca="1" si="0"/>
        <v>139.77999937419818</v>
      </c>
      <c r="F44" s="247">
        <f ca="1">LeastSq!$AF104</f>
        <v>135.78379343925363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0.51318089459815142</v>
      </c>
      <c r="D48" s="268">
        <f ca="1">+AW17</f>
        <v>0.44680676156110427</v>
      </c>
      <c r="E48" s="269">
        <f ca="1">+BA17</f>
        <v>0.97991719227684659</v>
      </c>
      <c r="F48" s="7"/>
      <c r="G48" s="269">
        <f ca="1">+AO17</f>
        <v>0.3239888677832386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Allied Pacific (APC Medicare)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4.7631681774927825E-2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0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5.3174507465914012E-2</v>
      </c>
      <c r="F7" s="314">
        <f t="shared" ca="1" si="1"/>
        <v>0.1065000267871945</v>
      </c>
      <c r="G7" s="314">
        <f t="shared" ca="1" si="1"/>
        <v>8.1132907744349447E-2</v>
      </c>
      <c r="W7" s="147">
        <f t="shared" ref="W7:Y19" ca="1" si="2">W120</f>
        <v>5.3174507465914012E-2</v>
      </c>
      <c r="X7" s="147">
        <f t="shared" ca="1" si="2"/>
        <v>0.1065000267871945</v>
      </c>
      <c r="Y7" s="147">
        <f t="shared" ca="1" si="2"/>
        <v>8.1132907744349447E-2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7.3643829697767504E-2</v>
      </c>
      <c r="F8" s="314">
        <f t="shared" ca="1" si="1"/>
        <v>0.10437085415604486</v>
      </c>
      <c r="G8" s="314">
        <f t="shared" ca="1" si="1"/>
        <v>8.3625544666233953E-2</v>
      </c>
      <c r="W8" s="147">
        <f t="shared" ca="1" si="2"/>
        <v>7.3643829697767504E-2</v>
      </c>
      <c r="X8" s="147">
        <f t="shared" ca="1" si="2"/>
        <v>0.10437085415604486</v>
      </c>
      <c r="Y8" s="147">
        <f t="shared" ca="1" si="2"/>
        <v>8.3625544666233953E-2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0.13431231988177506</v>
      </c>
      <c r="F9" s="314">
        <f t="shared" ca="1" si="1"/>
        <v>0.10613996974767748</v>
      </c>
      <c r="G9" s="314">
        <f t="shared" ca="1" si="1"/>
        <v>9.0510761342645685E-2</v>
      </c>
      <c r="W9" s="147">
        <f t="shared" ca="1" si="2"/>
        <v>0.13431231988177506</v>
      </c>
      <c r="X9" s="147">
        <f t="shared" ca="1" si="2"/>
        <v>0.10613996974767748</v>
      </c>
      <c r="Y9" s="147">
        <f t="shared" ca="1" si="2"/>
        <v>9.0510761342645685E-2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0.1598851054262389</v>
      </c>
      <c r="F10" s="314">
        <f t="shared" ca="1" si="1"/>
        <v>0.10359703176201807</v>
      </c>
      <c r="G10" s="314">
        <f t="shared" ca="1" si="1"/>
        <v>9.2971346372429764E-2</v>
      </c>
      <c r="W10" s="147">
        <f t="shared" ca="1" si="2"/>
        <v>0.1598851054262389</v>
      </c>
      <c r="X10" s="147">
        <f t="shared" ca="1" si="2"/>
        <v>0.10359703176201807</v>
      </c>
      <c r="Y10" s="147">
        <f t="shared" ca="1" si="2"/>
        <v>9.2971346372429764E-2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0.13353804417781623</v>
      </c>
      <c r="F11" s="314">
        <f t="shared" ca="1" si="1"/>
        <v>9.7695356813257472E-2</v>
      </c>
      <c r="G11" s="314">
        <f t="shared" ca="1" si="1"/>
        <v>8.9077736772082972E-2</v>
      </c>
      <c r="W11" s="147">
        <f t="shared" ca="1" si="2"/>
        <v>0.13353804417781623</v>
      </c>
      <c r="X11" s="147">
        <f t="shared" ca="1" si="2"/>
        <v>9.7695356813257472E-2</v>
      </c>
      <c r="Y11" s="147">
        <f t="shared" ca="1" si="2"/>
        <v>8.9077736772082972E-2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7.9920345364546952E-2</v>
      </c>
      <c r="F12" s="314">
        <f t="shared" ca="1" si="1"/>
        <v>7.7185697080078164E-2</v>
      </c>
      <c r="G12" s="314">
        <f t="shared" ca="1" si="1"/>
        <v>7.504685513784537E-2</v>
      </c>
      <c r="W12" s="147">
        <f t="shared" ca="1" si="2"/>
        <v>7.9920345364546952E-2</v>
      </c>
      <c r="X12" s="147">
        <f t="shared" ca="1" si="2"/>
        <v>7.7185697080078164E-2</v>
      </c>
      <c r="Y12" s="147">
        <f t="shared" ca="1" si="2"/>
        <v>7.504685513784537E-2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4.7631681774927825E-2</v>
      </c>
      <c r="F13" s="314">
        <f t="shared" ca="1" si="1"/>
        <v>5.5149355879986928E-2</v>
      </c>
      <c r="G13" s="314">
        <f t="shared" ca="1" si="1"/>
        <v>6.428280781753748E-2</v>
      </c>
      <c r="W13" s="147">
        <f t="shared" ca="1" si="2"/>
        <v>4.7631681774927825E-2</v>
      </c>
      <c r="X13" s="147">
        <f t="shared" ca="1" si="2"/>
        <v>5.5149355879986928E-2</v>
      </c>
      <c r="Y13" s="147">
        <f t="shared" ca="1" si="2"/>
        <v>6.428280781753748E-2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6.0793192804551532E-2</v>
      </c>
      <c r="F14" s="314">
        <f t="shared" ca="1" si="1"/>
        <v>6.2580735771507801E-2</v>
      </c>
      <c r="G14" s="314">
        <f t="shared" ca="1" si="1"/>
        <v>6.7477417992287014E-2</v>
      </c>
      <c r="W14" s="147">
        <f t="shared" ca="1" si="2"/>
        <v>6.0793192804551532E-2</v>
      </c>
      <c r="X14" s="147">
        <f t="shared" ca="1" si="2"/>
        <v>6.2580735771507801E-2</v>
      </c>
      <c r="Y14" s="147">
        <f t="shared" ca="1" si="2"/>
        <v>6.7477417992287014E-2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7.4185378475376984E-2</v>
      </c>
      <c r="F15" s="314">
        <f t="shared" ca="1" si="1"/>
        <v>7.3867755655904199E-2</v>
      </c>
      <c r="G15" s="314">
        <f t="shared" ca="1" si="1"/>
        <v>7.5126289590203177E-2</v>
      </c>
      <c r="W15" s="147">
        <f t="shared" ca="1" si="2"/>
        <v>7.4185378475376984E-2</v>
      </c>
      <c r="X15" s="147">
        <f t="shared" ca="1" si="2"/>
        <v>7.3867755655904199E-2</v>
      </c>
      <c r="Y15" s="147">
        <f t="shared" ca="1" si="2"/>
        <v>7.5126289590203177E-2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6.3126163826251247E-2</v>
      </c>
      <c r="F16" s="314">
        <f t="shared" ca="1" si="1"/>
        <v>8.1497214594261402E-2</v>
      </c>
      <c r="G16" s="314">
        <f t="shared" ca="1" si="1"/>
        <v>7.3175046937566934E-2</v>
      </c>
      <c r="W16" s="147">
        <f t="shared" ca="1" si="2"/>
        <v>6.3126163826251247E-2</v>
      </c>
      <c r="X16" s="147">
        <f t="shared" ca="1" si="2"/>
        <v>8.1497214594261402E-2</v>
      </c>
      <c r="Y16" s="147">
        <f t="shared" ca="1" si="2"/>
        <v>7.3175046937566934E-2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6.440794228016955E-2</v>
      </c>
      <c r="F17" s="314">
        <f t="shared" ca="1" si="1"/>
        <v>7.9722568243961955E-2</v>
      </c>
      <c r="G17" s="314">
        <f t="shared" ca="1" si="1"/>
        <v>7.5323917511502581E-2</v>
      </c>
      <c r="W17" s="147">
        <f t="shared" ca="1" si="2"/>
        <v>6.440794228016955E-2</v>
      </c>
      <c r="X17" s="147">
        <f t="shared" ca="1" si="2"/>
        <v>7.9722568243961955E-2</v>
      </c>
      <c r="Y17" s="147">
        <f t="shared" ca="1" si="2"/>
        <v>7.5323917511502581E-2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7.3546671621661952E-2</v>
      </c>
      <c r="F18" s="314">
        <f t="shared" ca="1" si="1"/>
        <v>7.2736939305025894E-2</v>
      </c>
      <c r="G18" s="314">
        <f t="shared" ca="1" si="1"/>
        <v>8.1660639627147313E-2</v>
      </c>
      <c r="W18" s="147">
        <f t="shared" ca="1" si="2"/>
        <v>7.3546671621661952E-2</v>
      </c>
      <c r="X18" s="147">
        <f t="shared" ca="1" si="2"/>
        <v>7.2736939305025894E-2</v>
      </c>
      <c r="Y18" s="147">
        <f t="shared" ca="1" si="2"/>
        <v>8.1660639627147313E-2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0.10064183418108374</v>
      </c>
      <c r="F19" s="314">
        <f t="shared" si="1"/>
        <v>7.3858154273444887E-2</v>
      </c>
      <c r="G19" s="314">
        <f t="shared" si="1"/>
        <v>8.8164630421994961E-2</v>
      </c>
      <c r="W19" s="147">
        <f t="shared" si="2"/>
        <v>0.10064183418108374</v>
      </c>
      <c r="X19" s="147">
        <f t="shared" si="2"/>
        <v>7.3858154273444887E-2</v>
      </c>
      <c r="Y19" s="147">
        <f t="shared" si="2"/>
        <v>8.8164630421994961E-2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9.6532714345868298E-2</v>
      </c>
      <c r="F20" s="314">
        <f t="shared" si="3"/>
        <v>7.2655118930522455E-2</v>
      </c>
      <c r="G20" s="314"/>
      <c r="W20" s="147">
        <f t="shared" ref="W20:X25" si="4">W133</f>
        <v>9.6532714345868298E-2</v>
      </c>
      <c r="X20" s="147">
        <f t="shared" si="4"/>
        <v>7.2655118930522455E-2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7.1896090601049512E-2</v>
      </c>
      <c r="F21" s="314">
        <f t="shared" si="3"/>
        <v>7.6398453925297316E-2</v>
      </c>
      <c r="G21" s="314"/>
      <c r="W21" s="147">
        <f t="shared" si="4"/>
        <v>7.1896090601049512E-2</v>
      </c>
      <c r="X21" s="147">
        <f t="shared" si="4"/>
        <v>7.6398453925297316E-2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4.8319231407772278E-2</v>
      </c>
      <c r="F22" s="314">
        <f t="shared" si="3"/>
        <v>6.4967564518445986E-2</v>
      </c>
      <c r="G22" s="314"/>
      <c r="W22" s="147">
        <f t="shared" si="4"/>
        <v>4.8319231407772278E-2</v>
      </c>
      <c r="X22" s="147">
        <f t="shared" si="4"/>
        <v>6.4967564518445986E-2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5.0932219681524726E-2</v>
      </c>
      <c r="F23" s="314">
        <f t="shared" si="3"/>
        <v>7.0984430802118359E-2</v>
      </c>
      <c r="G23" s="314"/>
      <c r="W23" s="147">
        <f t="shared" si="4"/>
        <v>5.0932219681524726E-2</v>
      </c>
      <c r="X23" s="147">
        <f t="shared" si="4"/>
        <v>7.0984430802118359E-2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8.0622857379767154E-2</v>
      </c>
      <c r="F24" s="314">
        <f t="shared" si="3"/>
        <v>9.0672655302548089E-2</v>
      </c>
      <c r="G24" s="314"/>
      <c r="W24" s="147">
        <f t="shared" si="4"/>
        <v>8.0622857379767154E-2</v>
      </c>
      <c r="X24" s="147">
        <f t="shared" si="4"/>
        <v>9.0672655302548089E-2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8.2053100829343029E-2</v>
      </c>
      <c r="F25" s="314">
        <f t="shared" si="3"/>
        <v>0.10321943176330128</v>
      </c>
      <c r="G25" s="314"/>
      <c r="W25" s="147">
        <f t="shared" si="4"/>
        <v>8.2053100829343029E-2</v>
      </c>
      <c r="X25" s="147">
        <f t="shared" si="4"/>
        <v>0.10321943176330128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9.244485769816535E-2</v>
      </c>
      <c r="F26" s="314"/>
      <c r="G26" s="314"/>
      <c r="W26" s="147">
        <f>W139</f>
        <v>9.244485769816535E-2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0.10191605337778187</v>
      </c>
      <c r="F27" s="314"/>
      <c r="G27" s="314"/>
      <c r="W27" s="147">
        <f>W140</f>
        <v>0.10191605337778187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0.12660315225028684</v>
      </c>
      <c r="F28" s="314"/>
      <c r="G28" s="314"/>
      <c r="W28" s="147">
        <f>W141</f>
        <v>0.12660315225028684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8.5005786115892754E-2</v>
      </c>
      <c r="F30" s="147">
        <f ca="1">AVERAGE(F7:F28)</f>
        <v>8.2831542911189326E-2</v>
      </c>
      <c r="G30" s="147">
        <f ca="1">AVERAGE(G7:G28)</f>
        <v>7.9813530917986666E-2</v>
      </c>
      <c r="R30" s="1"/>
      <c r="W30" s="147">
        <f ca="1">AVERAGE(W7:W28)</f>
        <v>8.5005786115892754E-2</v>
      </c>
      <c r="X30" s="147">
        <f ca="1">AVERAGE(X7:X28)</f>
        <v>8.2831542911189326E-2</v>
      </c>
      <c r="Y30" s="147">
        <f ca="1">AVERAGE(Y7:Y28)</f>
        <v>7.9813530917986666E-2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8.4847098566416479E-2</v>
      </c>
      <c r="F31" s="147">
        <f ca="1">AVERAGE(F7:F18)</f>
        <v>8.5086958816409888E-2</v>
      </c>
      <c r="G31" s="147">
        <f ca="1">AVERAGE(G7:G18)</f>
        <v>7.9117605959319312E-2</v>
      </c>
      <c r="R31" s="1"/>
      <c r="W31" s="147">
        <f ca="1">AVERAGE(W7:W18)</f>
        <v>8.4847098566416479E-2</v>
      </c>
      <c r="X31" s="147">
        <f ca="1">AVERAGE(X7:X18)</f>
        <v>8.5086958816409888E-2</v>
      </c>
      <c r="Y31" s="147">
        <f ca="1">AVERAGE(Y7:Y18)</f>
        <v>7.9117605959319312E-2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8.1949588192925527E-2</v>
      </c>
      <c r="F36" s="278">
        <f ca="1">LeastSq!$DS$52</f>
        <v>0.61135040572301036</v>
      </c>
      <c r="G36" s="297">
        <f ca="1">LeastSq!$DS$54</f>
        <v>11.141191550021071</v>
      </c>
      <c r="V36" s="7"/>
      <c r="W36" s="278">
        <f ca="1">Charts!AK46</f>
        <v>9.2447697714801436E-2</v>
      </c>
      <c r="X36" s="278">
        <f ca="1">LeastSq!$DS$114</f>
        <v>0.61135040572301036</v>
      </c>
      <c r="Y36" s="297">
        <f ca="1">LeastSq!$DS$116</f>
        <v>11.141191550021071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9.2447697714801436E-2</v>
      </c>
      <c r="F37" s="278">
        <f ca="1">LeastSq!$DZ$52</f>
        <v>0.62802410111246332</v>
      </c>
      <c r="G37" s="297">
        <f ca="1">LeastSq!$DZ$54</f>
        <v>9.2152546191281512</v>
      </c>
      <c r="V37" s="10"/>
      <c r="W37" s="279">
        <f ca="1">Charts!AK47</f>
        <v>9.5085294214765526E-2</v>
      </c>
      <c r="X37" s="278">
        <f ca="1">LeastSq!$DZ$114</f>
        <v>0.62802410111246332</v>
      </c>
      <c r="Y37" s="297">
        <f ca="1">LeastSq!$DZ$116</f>
        <v>9.2152546191281512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9.5085294214765526E-2</v>
      </c>
      <c r="F38" s="278">
        <f ca="1">LeastSq!$EE$52</f>
        <v>0.5340719170242233</v>
      </c>
      <c r="G38" s="297">
        <f ca="1">LeastSq!$EE$54</f>
        <v>9.1460246269753505</v>
      </c>
      <c r="V38" s="10"/>
      <c r="W38" s="279">
        <f ca="1">Charts!AK48</f>
        <v>0.1310270309772017</v>
      </c>
      <c r="X38" s="278">
        <f ca="1">LeastSq!$EE$114</f>
        <v>0.5340719170242233</v>
      </c>
      <c r="Y38" s="297">
        <f ca="1">LeastSq!$EE$116</f>
        <v>9.1460246269753505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0.1310270309772017</v>
      </c>
      <c r="F39" s="278">
        <f ca="1">LeastSq!$EJ$52</f>
        <v>0.37853773245863015</v>
      </c>
      <c r="G39" s="297">
        <f ca="1">LeastSq!$EJ$54</f>
        <v>9.1242430677472566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0.12660315225028684</v>
      </c>
      <c r="F62" s="147"/>
      <c r="G62" s="147"/>
      <c r="H62" s="147">
        <f ca="1">+E36</f>
        <v>8.1949588192925527E-2</v>
      </c>
      <c r="I62" s="147"/>
      <c r="J62" s="147"/>
      <c r="K62" s="300">
        <f t="shared" ref="K62:K83" si="7">+D62</f>
        <v>44713</v>
      </c>
      <c r="L62" s="147">
        <f t="shared" ref="L62:L83" si="8">+M253</f>
        <v>0.12660315225028684</v>
      </c>
      <c r="M62" s="147"/>
      <c r="N62" s="147"/>
      <c r="O62" s="147">
        <f ca="1">+W36</f>
        <v>9.2447697714801436E-2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0.10191605337778187</v>
      </c>
      <c r="F63" s="147"/>
      <c r="G63" s="147"/>
      <c r="H63" s="147">
        <f t="shared" ref="H63:H72" ca="1" si="9">+H62</f>
        <v>8.1949588192925527E-2</v>
      </c>
      <c r="I63" s="147"/>
      <c r="J63" s="147"/>
      <c r="K63" s="300">
        <f t="shared" si="7"/>
        <v>44743</v>
      </c>
      <c r="L63" s="147">
        <f t="shared" si="8"/>
        <v>0.10191605337778187</v>
      </c>
      <c r="M63" s="147"/>
      <c r="N63" s="147"/>
      <c r="O63" s="147">
        <f t="shared" ref="O63:O83" ca="1" si="10">+O62</f>
        <v>9.2447697714801436E-2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9.244485769816535E-2</v>
      </c>
      <c r="F64" s="147"/>
      <c r="G64" s="147"/>
      <c r="H64" s="147">
        <f t="shared" ca="1" si="9"/>
        <v>8.1949588192925527E-2</v>
      </c>
      <c r="I64" s="147"/>
      <c r="J64" s="147"/>
      <c r="K64" s="300">
        <f t="shared" si="7"/>
        <v>44774</v>
      </c>
      <c r="L64" s="147">
        <f t="shared" si="8"/>
        <v>9.244485769816535E-2</v>
      </c>
      <c r="M64" s="147"/>
      <c r="N64" s="147"/>
      <c r="O64" s="147">
        <f t="shared" ca="1" si="10"/>
        <v>9.2447697714801436E-2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8.2053100829343029E-2</v>
      </c>
      <c r="F65" s="147">
        <f t="shared" ref="F65:F83" si="11">+R256</f>
        <v>0.10321943176330128</v>
      </c>
      <c r="G65" s="147"/>
      <c r="H65" s="147">
        <f t="shared" ca="1" si="9"/>
        <v>8.1949588192925527E-2</v>
      </c>
      <c r="I65" s="147"/>
      <c r="J65" s="147"/>
      <c r="K65" s="300">
        <f t="shared" si="7"/>
        <v>44805</v>
      </c>
      <c r="L65" s="147">
        <f t="shared" si="8"/>
        <v>8.2053100829343029E-2</v>
      </c>
      <c r="M65" s="147">
        <f t="shared" ref="M65:M83" si="12">+S256</f>
        <v>0.10321943176330128</v>
      </c>
      <c r="N65" s="147"/>
      <c r="O65" s="147">
        <f t="shared" ca="1" si="10"/>
        <v>9.2447697714801436E-2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8.0622857379767154E-2</v>
      </c>
      <c r="F66" s="147">
        <f t="shared" si="11"/>
        <v>9.0672655302548089E-2</v>
      </c>
      <c r="G66" s="147"/>
      <c r="H66" s="147">
        <f t="shared" ca="1" si="9"/>
        <v>8.1949588192925527E-2</v>
      </c>
      <c r="I66" s="147"/>
      <c r="J66" s="147"/>
      <c r="K66" s="300">
        <f t="shared" si="7"/>
        <v>44835</v>
      </c>
      <c r="L66" s="147">
        <f t="shared" si="8"/>
        <v>8.0622857379767154E-2</v>
      </c>
      <c r="M66" s="147">
        <f t="shared" si="12"/>
        <v>9.0672655302548089E-2</v>
      </c>
      <c r="N66" s="147"/>
      <c r="O66" s="147">
        <f t="shared" ca="1" si="10"/>
        <v>9.2447697714801436E-2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5.0932219681524726E-2</v>
      </c>
      <c r="F67" s="147">
        <f t="shared" si="11"/>
        <v>7.0984430802118359E-2</v>
      </c>
      <c r="G67" s="147"/>
      <c r="H67" s="147">
        <f t="shared" ca="1" si="9"/>
        <v>8.1949588192925527E-2</v>
      </c>
      <c r="I67" s="147"/>
      <c r="J67" s="147"/>
      <c r="K67" s="300">
        <f t="shared" si="7"/>
        <v>44866</v>
      </c>
      <c r="L67" s="147">
        <f t="shared" si="8"/>
        <v>5.0932219681524726E-2</v>
      </c>
      <c r="M67" s="147">
        <f t="shared" si="12"/>
        <v>7.0984430802118359E-2</v>
      </c>
      <c r="N67" s="147"/>
      <c r="O67" s="147">
        <f t="shared" ca="1" si="10"/>
        <v>9.2447697714801436E-2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4.8319231407772278E-2</v>
      </c>
      <c r="F68" s="147">
        <f t="shared" si="11"/>
        <v>6.4967564518445986E-2</v>
      </c>
      <c r="G68" s="147"/>
      <c r="H68" s="147">
        <f t="shared" ca="1" si="9"/>
        <v>8.1949588192925527E-2</v>
      </c>
      <c r="I68" s="147"/>
      <c r="J68" s="147"/>
      <c r="K68" s="300">
        <f t="shared" si="7"/>
        <v>44896</v>
      </c>
      <c r="L68" s="147">
        <f t="shared" si="8"/>
        <v>4.8319231407772278E-2</v>
      </c>
      <c r="M68" s="147">
        <f t="shared" si="12"/>
        <v>6.4967564518445986E-2</v>
      </c>
      <c r="N68" s="147"/>
      <c r="O68" s="147">
        <f t="shared" ca="1" si="10"/>
        <v>9.2447697714801436E-2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7.1896090601049512E-2</v>
      </c>
      <c r="F69" s="147">
        <f t="shared" si="11"/>
        <v>7.6398453925297316E-2</v>
      </c>
      <c r="G69" s="147"/>
      <c r="H69" s="147">
        <f t="shared" ca="1" si="9"/>
        <v>8.1949588192925527E-2</v>
      </c>
      <c r="I69" s="147"/>
      <c r="J69" s="147"/>
      <c r="K69" s="300">
        <f t="shared" si="7"/>
        <v>44927</v>
      </c>
      <c r="L69" s="147">
        <f t="shared" si="8"/>
        <v>7.1896090601049512E-2</v>
      </c>
      <c r="M69" s="147">
        <f t="shared" si="12"/>
        <v>7.6398453925297316E-2</v>
      </c>
      <c r="N69" s="147"/>
      <c r="O69" s="147">
        <f t="shared" ca="1" si="10"/>
        <v>9.2447697714801436E-2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9.6532714345868298E-2</v>
      </c>
      <c r="F70" s="147">
        <f t="shared" si="11"/>
        <v>7.2655118930522455E-2</v>
      </c>
      <c r="G70" s="147"/>
      <c r="H70" s="147">
        <f t="shared" ca="1" si="9"/>
        <v>8.1949588192925527E-2</v>
      </c>
      <c r="I70" s="147"/>
      <c r="J70" s="147"/>
      <c r="K70" s="300">
        <f t="shared" si="7"/>
        <v>44958</v>
      </c>
      <c r="L70" s="147">
        <f t="shared" si="8"/>
        <v>9.6532714345868298E-2</v>
      </c>
      <c r="M70" s="147">
        <f t="shared" si="12"/>
        <v>7.2655118930522455E-2</v>
      </c>
      <c r="N70" s="147"/>
      <c r="O70" s="147">
        <f t="shared" ca="1" si="10"/>
        <v>9.2447697714801436E-2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0.10064183418108374</v>
      </c>
      <c r="F71" s="147">
        <f t="shared" si="11"/>
        <v>7.3858154273444887E-2</v>
      </c>
      <c r="G71" s="147">
        <f t="shared" ref="G71:G83" si="13">+X262</f>
        <v>8.8164630421994961E-2</v>
      </c>
      <c r="H71" s="147">
        <f t="shared" ca="1" si="9"/>
        <v>8.1949588192925527E-2</v>
      </c>
      <c r="I71" s="147"/>
      <c r="J71" s="147"/>
      <c r="K71" s="300">
        <f t="shared" si="7"/>
        <v>44986</v>
      </c>
      <c r="L71" s="147">
        <f t="shared" si="8"/>
        <v>0.10064183418108374</v>
      </c>
      <c r="M71" s="147">
        <f t="shared" si="12"/>
        <v>7.3858154273444887E-2</v>
      </c>
      <c r="N71" s="147">
        <f t="shared" ref="N71:N83" si="14">+Y262</f>
        <v>8.8164630421994961E-2</v>
      </c>
      <c r="O71" s="147">
        <f t="shared" ca="1" si="10"/>
        <v>9.2447697714801436E-2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7.3546671621661952E-2</v>
      </c>
      <c r="F72" s="147">
        <f t="shared" ca="1" si="11"/>
        <v>7.2736939305025894E-2</v>
      </c>
      <c r="G72" s="147">
        <f t="shared" ca="1" si="13"/>
        <v>8.1660639627147313E-2</v>
      </c>
      <c r="H72" s="147">
        <f t="shared" ca="1" si="9"/>
        <v>8.1949588192925527E-2</v>
      </c>
      <c r="I72" s="147"/>
      <c r="J72" s="147"/>
      <c r="K72" s="300">
        <f t="shared" si="7"/>
        <v>45017</v>
      </c>
      <c r="L72" s="147">
        <f t="shared" ca="1" si="8"/>
        <v>7.3546671621661952E-2</v>
      </c>
      <c r="M72" s="147">
        <f t="shared" ca="1" si="12"/>
        <v>7.2736939305025894E-2</v>
      </c>
      <c r="N72" s="147">
        <f t="shared" ca="1" si="14"/>
        <v>8.1660639627147313E-2</v>
      </c>
      <c r="O72" s="147">
        <f t="shared" ca="1" si="10"/>
        <v>9.2447697714801436E-2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6.440794228016955E-2</v>
      </c>
      <c r="F73" s="147">
        <f t="shared" ca="1" si="11"/>
        <v>7.9722568243961955E-2</v>
      </c>
      <c r="G73" s="147">
        <f t="shared" ca="1" si="13"/>
        <v>7.5323917511502581E-2</v>
      </c>
      <c r="H73" s="147">
        <f t="shared" ref="H73:H83" ca="1" si="15">+H72</f>
        <v>8.1949588192925527E-2</v>
      </c>
      <c r="I73" s="147"/>
      <c r="J73" s="147"/>
      <c r="K73" s="300">
        <f t="shared" si="7"/>
        <v>45047</v>
      </c>
      <c r="L73" s="147">
        <f t="shared" ca="1" si="8"/>
        <v>6.440794228016955E-2</v>
      </c>
      <c r="M73" s="147">
        <f t="shared" ca="1" si="12"/>
        <v>7.9722568243961955E-2</v>
      </c>
      <c r="N73" s="147">
        <f t="shared" ca="1" si="14"/>
        <v>7.5323917511502581E-2</v>
      </c>
      <c r="O73" s="147">
        <f t="shared" ca="1" si="10"/>
        <v>9.2447697714801436E-2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6.3126163826251247E-2</v>
      </c>
      <c r="F74" s="147">
        <f t="shared" ca="1" si="11"/>
        <v>8.1497214594261402E-2</v>
      </c>
      <c r="G74" s="147">
        <f t="shared" ca="1" si="13"/>
        <v>7.3175046937566934E-2</v>
      </c>
      <c r="H74" s="147">
        <f t="shared" ca="1" si="15"/>
        <v>8.1949588192925527E-2</v>
      </c>
      <c r="I74" s="147"/>
      <c r="J74" s="147"/>
      <c r="K74" s="300">
        <f t="shared" si="7"/>
        <v>45078</v>
      </c>
      <c r="L74" s="147">
        <f t="shared" ca="1" si="8"/>
        <v>6.3126163826251247E-2</v>
      </c>
      <c r="M74" s="147">
        <f t="shared" ca="1" si="12"/>
        <v>8.1497214594261402E-2</v>
      </c>
      <c r="N74" s="147">
        <f t="shared" ca="1" si="14"/>
        <v>7.3175046937566934E-2</v>
      </c>
      <c r="O74" s="147">
        <f t="shared" ca="1" si="10"/>
        <v>9.2447697714801436E-2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7.4185378475376984E-2</v>
      </c>
      <c r="F75" s="147">
        <f t="shared" ca="1" si="11"/>
        <v>7.3867755655904199E-2</v>
      </c>
      <c r="G75" s="147">
        <f t="shared" ca="1" si="13"/>
        <v>7.5126289590203177E-2</v>
      </c>
      <c r="H75" s="147">
        <f t="shared" ca="1" si="15"/>
        <v>8.1949588192925527E-2</v>
      </c>
      <c r="I75" s="147"/>
      <c r="J75" s="147"/>
      <c r="K75" s="300">
        <f t="shared" si="7"/>
        <v>45108</v>
      </c>
      <c r="L75" s="147">
        <f t="shared" ca="1" si="8"/>
        <v>7.4185378475376984E-2</v>
      </c>
      <c r="M75" s="147">
        <f t="shared" ca="1" si="12"/>
        <v>7.3867755655904199E-2</v>
      </c>
      <c r="N75" s="147">
        <f t="shared" ca="1" si="14"/>
        <v>7.5126289590203177E-2</v>
      </c>
      <c r="O75" s="147">
        <f t="shared" ca="1" si="10"/>
        <v>9.2447697714801436E-2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6.0793192804551532E-2</v>
      </c>
      <c r="F76" s="147">
        <f t="shared" ca="1" si="11"/>
        <v>6.2580735771507801E-2</v>
      </c>
      <c r="G76" s="147">
        <f t="shared" ca="1" si="13"/>
        <v>6.7477417992287014E-2</v>
      </c>
      <c r="H76" s="147">
        <f t="shared" ca="1" si="15"/>
        <v>8.1949588192925527E-2</v>
      </c>
      <c r="I76" s="147"/>
      <c r="J76" s="147"/>
      <c r="K76" s="300">
        <f t="shared" si="7"/>
        <v>45139</v>
      </c>
      <c r="L76" s="147">
        <f t="shared" ca="1" si="8"/>
        <v>6.0793192804551532E-2</v>
      </c>
      <c r="M76" s="147">
        <f t="shared" ca="1" si="12"/>
        <v>6.2580735771507801E-2</v>
      </c>
      <c r="N76" s="147">
        <f t="shared" ca="1" si="14"/>
        <v>6.7477417992287014E-2</v>
      </c>
      <c r="O76" s="147">
        <f t="shared" ca="1" si="10"/>
        <v>9.2447697714801436E-2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4.7631681774927825E-2</v>
      </c>
      <c r="F77" s="147">
        <f t="shared" ca="1" si="11"/>
        <v>5.5149355879986928E-2</v>
      </c>
      <c r="G77" s="147">
        <f t="shared" ca="1" si="13"/>
        <v>6.428280781753748E-2</v>
      </c>
      <c r="H77" s="147">
        <f t="shared" ca="1" si="15"/>
        <v>8.1949588192925527E-2</v>
      </c>
      <c r="I77" s="147"/>
      <c r="J77" s="147"/>
      <c r="K77" s="300">
        <f t="shared" si="7"/>
        <v>45170</v>
      </c>
      <c r="L77" s="147">
        <f t="shared" ca="1" si="8"/>
        <v>4.7631681774927825E-2</v>
      </c>
      <c r="M77" s="147">
        <f t="shared" ca="1" si="12"/>
        <v>5.5149355879986928E-2</v>
      </c>
      <c r="N77" s="147">
        <f t="shared" ca="1" si="14"/>
        <v>6.428280781753748E-2</v>
      </c>
      <c r="O77" s="147">
        <f t="shared" ca="1" si="10"/>
        <v>9.2447697714801436E-2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7.9920345364546952E-2</v>
      </c>
      <c r="F78" s="147">
        <f t="shared" ca="1" si="11"/>
        <v>7.7185697080078164E-2</v>
      </c>
      <c r="G78" s="147">
        <f t="shared" ca="1" si="13"/>
        <v>7.504685513784537E-2</v>
      </c>
      <c r="H78" s="147">
        <f t="shared" ca="1" si="15"/>
        <v>8.1949588192925527E-2</v>
      </c>
      <c r="I78" s="147"/>
      <c r="J78" s="147"/>
      <c r="K78" s="300">
        <f t="shared" si="7"/>
        <v>45200</v>
      </c>
      <c r="L78" s="147">
        <f t="shared" ca="1" si="8"/>
        <v>7.9920345364546952E-2</v>
      </c>
      <c r="M78" s="147">
        <f t="shared" ca="1" si="12"/>
        <v>7.7185697080078164E-2</v>
      </c>
      <c r="N78" s="147">
        <f t="shared" ca="1" si="14"/>
        <v>7.504685513784537E-2</v>
      </c>
      <c r="O78" s="147">
        <f t="shared" ca="1" si="10"/>
        <v>9.2447697714801436E-2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0.13353804417781623</v>
      </c>
      <c r="F79" s="147">
        <f t="shared" ca="1" si="11"/>
        <v>9.7695356813257472E-2</v>
      </c>
      <c r="G79" s="147">
        <f t="shared" ca="1" si="13"/>
        <v>8.9077736772082972E-2</v>
      </c>
      <c r="H79" s="147">
        <f t="shared" ca="1" si="15"/>
        <v>8.1949588192925527E-2</v>
      </c>
      <c r="I79" s="147"/>
      <c r="J79" s="147"/>
      <c r="K79" s="300">
        <f t="shared" si="7"/>
        <v>45231</v>
      </c>
      <c r="L79" s="147">
        <f t="shared" ca="1" si="8"/>
        <v>0.13353804417781623</v>
      </c>
      <c r="M79" s="147">
        <f t="shared" ca="1" si="12"/>
        <v>9.7695356813257472E-2</v>
      </c>
      <c r="N79" s="147">
        <f t="shared" ca="1" si="14"/>
        <v>8.9077736772082972E-2</v>
      </c>
      <c r="O79" s="147">
        <f t="shared" ca="1" si="10"/>
        <v>9.2447697714801436E-2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0.1598851054262389</v>
      </c>
      <c r="F80" s="147">
        <f t="shared" ca="1" si="11"/>
        <v>0.10359703176201807</v>
      </c>
      <c r="G80" s="147">
        <f t="shared" ca="1" si="13"/>
        <v>9.2971346372429764E-2</v>
      </c>
      <c r="H80" s="147">
        <f t="shared" ca="1" si="15"/>
        <v>8.1949588192925527E-2</v>
      </c>
      <c r="I80" s="147"/>
      <c r="J80" s="147"/>
      <c r="K80" s="300">
        <f t="shared" si="7"/>
        <v>45261</v>
      </c>
      <c r="L80" s="147">
        <f t="shared" ca="1" si="8"/>
        <v>0.1598851054262389</v>
      </c>
      <c r="M80" s="147">
        <f t="shared" ca="1" si="12"/>
        <v>0.10359703176201807</v>
      </c>
      <c r="N80" s="147">
        <f t="shared" ca="1" si="14"/>
        <v>9.2971346372429764E-2</v>
      </c>
      <c r="O80" s="147">
        <f t="shared" ca="1" si="10"/>
        <v>9.2447697714801436E-2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0.13431231988177506</v>
      </c>
      <c r="F81" s="147">
        <f t="shared" ca="1" si="11"/>
        <v>0.10613996974767748</v>
      </c>
      <c r="G81" s="147">
        <f t="shared" ca="1" si="13"/>
        <v>9.0510761342645685E-2</v>
      </c>
      <c r="H81" s="147">
        <f t="shared" ca="1" si="15"/>
        <v>8.1949588192925527E-2</v>
      </c>
      <c r="I81" s="147"/>
      <c r="J81" s="147"/>
      <c r="K81" s="300">
        <f t="shared" si="7"/>
        <v>45292</v>
      </c>
      <c r="L81" s="147">
        <f t="shared" ca="1" si="8"/>
        <v>0.13431231988177506</v>
      </c>
      <c r="M81" s="147">
        <f t="shared" ca="1" si="12"/>
        <v>0.10613996974767748</v>
      </c>
      <c r="N81" s="147">
        <f t="shared" ca="1" si="14"/>
        <v>9.0510761342645685E-2</v>
      </c>
      <c r="O81" s="147">
        <f t="shared" ca="1" si="10"/>
        <v>9.2447697714801436E-2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7.3643829697767504E-2</v>
      </c>
      <c r="F82" s="147">
        <f t="shared" ca="1" si="11"/>
        <v>0.10437085415604486</v>
      </c>
      <c r="G82" s="147">
        <f t="shared" ca="1" si="13"/>
        <v>8.3625544666233953E-2</v>
      </c>
      <c r="H82" s="147">
        <f t="shared" ca="1" si="15"/>
        <v>8.1949588192925527E-2</v>
      </c>
      <c r="I82" s="147"/>
      <c r="J82" s="147"/>
      <c r="K82" s="300">
        <f t="shared" si="7"/>
        <v>45323</v>
      </c>
      <c r="L82" s="147">
        <f t="shared" ca="1" si="8"/>
        <v>7.3643829697767504E-2</v>
      </c>
      <c r="M82" s="147">
        <f t="shared" ca="1" si="12"/>
        <v>0.10437085415604486</v>
      </c>
      <c r="N82" s="147">
        <f t="shared" ca="1" si="14"/>
        <v>8.3625544666233953E-2</v>
      </c>
      <c r="O82" s="147">
        <f t="shared" ca="1" si="10"/>
        <v>9.2447697714801436E-2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5.3174507465914012E-2</v>
      </c>
      <c r="F83" s="147">
        <f t="shared" ca="1" si="11"/>
        <v>0.1065000267871945</v>
      </c>
      <c r="G83" s="147">
        <f t="shared" ca="1" si="13"/>
        <v>8.1132907744349447E-2</v>
      </c>
      <c r="H83" s="147">
        <f t="shared" ca="1" si="15"/>
        <v>8.1949588192925527E-2</v>
      </c>
      <c r="I83" s="147"/>
      <c r="J83" s="147"/>
      <c r="K83" s="300">
        <f t="shared" si="7"/>
        <v>45352</v>
      </c>
      <c r="L83" s="147">
        <f t="shared" ca="1" si="8"/>
        <v>5.3174507465914012E-2</v>
      </c>
      <c r="M83" s="147">
        <f t="shared" ca="1" si="12"/>
        <v>0.1065000267871945</v>
      </c>
      <c r="N83" s="147">
        <f t="shared" ca="1" si="14"/>
        <v>8.1132907744349447E-2</v>
      </c>
      <c r="O83" s="147">
        <f t="shared" ca="1" si="10"/>
        <v>9.2447697714801436E-2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1.053174507465914</v>
      </c>
      <c r="G90" s="287">
        <f ca="1">+R234</f>
        <v>1.1065000267871945</v>
      </c>
      <c r="H90" s="287">
        <f ca="1">+X234</f>
        <v>1.0811329077443494</v>
      </c>
      <c r="I90" s="7"/>
      <c r="J90" s="7"/>
      <c r="K90" s="7"/>
      <c r="L90" s="287">
        <f ca="1">+M234</f>
        <v>1.053174507465914</v>
      </c>
      <c r="M90" s="287">
        <f ca="1">+S234</f>
        <v>1.1065000267871945</v>
      </c>
      <c r="N90" s="287">
        <f ca="1">+Y234</f>
        <v>1.0811329077443494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1.0736438296977675</v>
      </c>
      <c r="G91" s="287">
        <f ca="1">+R233</f>
        <v>1.1043708541560449</v>
      </c>
      <c r="H91" s="287">
        <f ca="1">+X233</f>
        <v>1.083625544666234</v>
      </c>
      <c r="I91" s="7"/>
      <c r="J91" s="7"/>
      <c r="K91" s="7"/>
      <c r="L91" s="287">
        <f ca="1">+M233</f>
        <v>1.0736438296977675</v>
      </c>
      <c r="M91" s="287">
        <f ca="1">+S233</f>
        <v>1.1043708541560449</v>
      </c>
      <c r="N91" s="287">
        <f ca="1">+Y233</f>
        <v>1.083625544666234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1.1343123198817751</v>
      </c>
      <c r="G92" s="287">
        <f ca="1">+R232</f>
        <v>1.1061399697476775</v>
      </c>
      <c r="H92" s="287">
        <f ca="1">+X232</f>
        <v>1.0905107613426457</v>
      </c>
      <c r="I92" s="7"/>
      <c r="J92" s="7"/>
      <c r="K92" s="7"/>
      <c r="L92" s="287">
        <f ca="1">+M232</f>
        <v>1.1343123198817751</v>
      </c>
      <c r="M92" s="287">
        <f ca="1">+S232</f>
        <v>1.1061399697476775</v>
      </c>
      <c r="N92" s="287">
        <f ca="1">+Y232</f>
        <v>1.0905107613426457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1.1598851054262389</v>
      </c>
      <c r="G93" s="287">
        <f ca="1">+R231</f>
        <v>1.1035970317620181</v>
      </c>
      <c r="H93" s="287">
        <f ca="1">+X231</f>
        <v>1.0929713463724298</v>
      </c>
      <c r="I93" s="7"/>
      <c r="J93" s="7"/>
      <c r="K93" s="7"/>
      <c r="L93" s="287">
        <f ca="1">+M231</f>
        <v>1.1598851054262389</v>
      </c>
      <c r="M93" s="287">
        <f ca="1">+S231</f>
        <v>1.1035970317620181</v>
      </c>
      <c r="N93" s="287">
        <f ca="1">+Y231</f>
        <v>1.0929713463724298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1.1335380441778162</v>
      </c>
      <c r="G94" s="287">
        <f ca="1">+R230</f>
        <v>1.0976953568132575</v>
      </c>
      <c r="H94" s="287">
        <f ca="1">+X230</f>
        <v>1.089077736772083</v>
      </c>
      <c r="I94" s="7"/>
      <c r="J94" s="7"/>
      <c r="K94" s="7"/>
      <c r="L94" s="287">
        <f ca="1">+M230</f>
        <v>1.1335380441778162</v>
      </c>
      <c r="M94" s="287">
        <f ca="1">+S230</f>
        <v>1.0976953568132575</v>
      </c>
      <c r="N94" s="287">
        <f ca="1">+Y230</f>
        <v>1.089077736772083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1.079920345364547</v>
      </c>
      <c r="G95" s="287">
        <f ca="1">+R229</f>
        <v>1.0771856970800782</v>
      </c>
      <c r="H95" s="287">
        <f ca="1">+X229</f>
        <v>1.0750468551378454</v>
      </c>
      <c r="I95" s="7"/>
      <c r="J95" s="7"/>
      <c r="K95" s="7"/>
      <c r="L95" s="287">
        <f ca="1">+M229</f>
        <v>1.079920345364547</v>
      </c>
      <c r="M95" s="287">
        <f ca="1">+S229</f>
        <v>1.0771856970800782</v>
      </c>
      <c r="N95" s="287">
        <f ca="1">+Y229</f>
        <v>1.0750468551378454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1.0476316817749278</v>
      </c>
      <c r="G96" s="287">
        <f ca="1">+R228</f>
        <v>1.0551493558799869</v>
      </c>
      <c r="H96" s="287">
        <f ca="1">+X228</f>
        <v>1.0642828078175375</v>
      </c>
      <c r="I96" s="7"/>
      <c r="J96" s="7"/>
      <c r="K96" s="7"/>
      <c r="L96" s="287">
        <f ca="1">+M228</f>
        <v>1.0476316817749278</v>
      </c>
      <c r="M96" s="287">
        <f ca="1">+S228</f>
        <v>1.0551493558799869</v>
      </c>
      <c r="N96" s="287">
        <f ca="1">+Y228</f>
        <v>1.0642828078175375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1.0607931928045515</v>
      </c>
      <c r="G97" s="287">
        <f ca="1">+R227</f>
        <v>1.0625807357715078</v>
      </c>
      <c r="H97" s="287">
        <f ca="1">+X227</f>
        <v>1.067477417992287</v>
      </c>
      <c r="I97" s="7"/>
      <c r="J97" s="7"/>
      <c r="K97" s="7"/>
      <c r="L97" s="287">
        <f ca="1">+M227</f>
        <v>1.0607931928045515</v>
      </c>
      <c r="M97" s="287">
        <f ca="1">+S227</f>
        <v>1.0625807357715078</v>
      </c>
      <c r="N97" s="287">
        <f ca="1">+Y227</f>
        <v>1.067477417992287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1.074185378475377</v>
      </c>
      <c r="G98" s="287">
        <f ca="1">+R226</f>
        <v>1.0738677556559042</v>
      </c>
      <c r="H98" s="287">
        <f ca="1">+X226</f>
        <v>1.0751262895902032</v>
      </c>
      <c r="I98" s="7"/>
      <c r="J98" s="7"/>
      <c r="K98" s="7"/>
      <c r="L98" s="287">
        <f ca="1">+M226</f>
        <v>1.074185378475377</v>
      </c>
      <c r="M98" s="287">
        <f ca="1">+S226</f>
        <v>1.0738677556559042</v>
      </c>
      <c r="N98" s="287">
        <f ca="1">+Y226</f>
        <v>1.0751262895902032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1.0631261638262512</v>
      </c>
      <c r="G99" s="287">
        <f ca="1">+R225</f>
        <v>1.0814972145942614</v>
      </c>
      <c r="H99" s="287">
        <f ca="1">+X225</f>
        <v>1.0731750469375669</v>
      </c>
      <c r="I99" s="7"/>
      <c r="J99" s="7"/>
      <c r="K99" s="7"/>
      <c r="L99" s="287">
        <f ca="1">+M225</f>
        <v>1.0631261638262512</v>
      </c>
      <c r="M99" s="287">
        <f ca="1">+S225</f>
        <v>1.0814972145942614</v>
      </c>
      <c r="N99" s="287">
        <f ca="1">+Y225</f>
        <v>1.0731750469375669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1.0644079422801696</v>
      </c>
      <c r="G100" s="287">
        <f ca="1">+R224</f>
        <v>1.079722568243962</v>
      </c>
      <c r="H100" s="287">
        <f ca="1">+X224</f>
        <v>1.0753239175115026</v>
      </c>
      <c r="I100" s="7"/>
      <c r="J100" s="7"/>
      <c r="K100" s="7"/>
      <c r="L100" s="287">
        <f ca="1">+M224</f>
        <v>1.0644079422801696</v>
      </c>
      <c r="M100" s="287">
        <f ca="1">+S224</f>
        <v>1.079722568243962</v>
      </c>
      <c r="N100" s="287">
        <f ca="1">+Y224</f>
        <v>1.0753239175115026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1.073546671621662</v>
      </c>
      <c r="G101" s="287">
        <f ca="1">+R223</f>
        <v>1.0727369393050259</v>
      </c>
      <c r="H101" s="287">
        <f ca="1">+X223</f>
        <v>1.0816606396271473</v>
      </c>
      <c r="I101" s="7"/>
      <c r="J101" s="7"/>
      <c r="K101" s="7"/>
      <c r="L101" s="287">
        <f ca="1">+M223</f>
        <v>1.073546671621662</v>
      </c>
      <c r="M101" s="287">
        <f ca="1">+S223</f>
        <v>1.0727369393050259</v>
      </c>
      <c r="N101" s="287">
        <f ca="1">+Y223</f>
        <v>1.0816606396271473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1.1006418341810837</v>
      </c>
      <c r="G102" s="287">
        <f>+R222</f>
        <v>1.0738581542734449</v>
      </c>
      <c r="H102" s="287">
        <f>+X222</f>
        <v>1.088164630421995</v>
      </c>
      <c r="I102" s="7"/>
      <c r="J102" s="7"/>
      <c r="K102" s="7"/>
      <c r="L102" s="287">
        <f>+M222</f>
        <v>1.1006418341810837</v>
      </c>
      <c r="M102" s="287">
        <f>+S222</f>
        <v>1.0738581542734449</v>
      </c>
      <c r="N102" s="287">
        <f>+Y222</f>
        <v>1.088164630421995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1.0965327143458683</v>
      </c>
      <c r="G103" s="287">
        <f>+R221</f>
        <v>1.0726551189305225</v>
      </c>
      <c r="H103" s="287"/>
      <c r="I103" s="7"/>
      <c r="J103" s="7"/>
      <c r="K103" s="7"/>
      <c r="L103" s="287">
        <f>+M221</f>
        <v>1.0965327143458683</v>
      </c>
      <c r="M103" s="287">
        <f>+S221</f>
        <v>1.0726551189305225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1.0718960906010495</v>
      </c>
      <c r="G104" s="287">
        <f>+R220</f>
        <v>1.0763984539252973</v>
      </c>
      <c r="H104" s="287"/>
      <c r="I104" s="7"/>
      <c r="J104" s="7"/>
      <c r="K104" s="7"/>
      <c r="L104" s="287">
        <f>+M220</f>
        <v>1.0718960906010495</v>
      </c>
      <c r="M104" s="287">
        <f>+S220</f>
        <v>1.0763984539252973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1.0483192314077723</v>
      </c>
      <c r="G105" s="287">
        <f>+R219</f>
        <v>1.064967564518446</v>
      </c>
      <c r="H105" s="287"/>
      <c r="I105" s="7"/>
      <c r="J105" s="7"/>
      <c r="K105" s="7"/>
      <c r="L105" s="287">
        <f>+M219</f>
        <v>1.0483192314077723</v>
      </c>
      <c r="M105" s="287">
        <f>+S219</f>
        <v>1.064967564518446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1.0509322196815247</v>
      </c>
      <c r="G106" s="287">
        <f>+R218</f>
        <v>1.0709844308021184</v>
      </c>
      <c r="H106" s="287"/>
      <c r="I106" s="7"/>
      <c r="J106" s="7"/>
      <c r="K106" s="7"/>
      <c r="L106" s="287">
        <f>+M218</f>
        <v>1.0509322196815247</v>
      </c>
      <c r="M106" s="287">
        <f>+S218</f>
        <v>1.0709844308021184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1.0806228573797672</v>
      </c>
      <c r="G107" s="287">
        <f>+R217</f>
        <v>1.0906726553025481</v>
      </c>
      <c r="H107" s="287"/>
      <c r="I107" s="7"/>
      <c r="J107" s="7"/>
      <c r="K107" s="7"/>
      <c r="L107" s="287">
        <f>+M217</f>
        <v>1.0806228573797672</v>
      </c>
      <c r="M107" s="287">
        <f>+S217</f>
        <v>1.0906726553025481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1.082053100829343</v>
      </c>
      <c r="G108" s="287">
        <f>+R216</f>
        <v>1.1032194317633013</v>
      </c>
      <c r="H108" s="287"/>
      <c r="I108" s="7"/>
      <c r="J108" s="7"/>
      <c r="K108" s="7"/>
      <c r="L108" s="287">
        <f>+M216</f>
        <v>1.082053100829343</v>
      </c>
      <c r="M108" s="287">
        <f>+S216</f>
        <v>1.1032194317633013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1.0924448576981654</v>
      </c>
      <c r="G109" s="287"/>
      <c r="H109" s="287"/>
      <c r="I109" s="7"/>
      <c r="J109" s="7"/>
      <c r="K109" s="7"/>
      <c r="L109" s="287">
        <f>+M215</f>
        <v>1.0924448576981654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1.1019160533777819</v>
      </c>
      <c r="G110" s="287"/>
      <c r="H110" s="287"/>
      <c r="I110" s="7"/>
      <c r="J110" s="7"/>
      <c r="K110" s="7"/>
      <c r="L110" s="287">
        <f>+M214</f>
        <v>1.1019160533777819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1.1266031522502868</v>
      </c>
      <c r="G111" s="287"/>
      <c r="H111" s="287"/>
      <c r="I111" s="7"/>
      <c r="J111" s="7"/>
      <c r="K111" s="7"/>
      <c r="L111" s="287">
        <f>+M213</f>
        <v>1.1266031522502868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5.3174507465914012E-2</v>
      </c>
      <c r="G120" s="147">
        <f t="shared" ca="1" si="17"/>
        <v>0.1065000267871945</v>
      </c>
      <c r="H120" s="147">
        <f t="shared" ca="1" si="17"/>
        <v>8.1132907744349447E-2</v>
      </c>
      <c r="V120" s="7"/>
      <c r="W120" s="147">
        <f ca="1">IF(L90="NA","NA",+L90-1)</f>
        <v>5.3174507465914012E-2</v>
      </c>
      <c r="X120" s="147">
        <f t="shared" ref="X120:Y135" ca="1" si="18">IF(M90="NA","NA",+M90-1)</f>
        <v>0.1065000267871945</v>
      </c>
      <c r="Y120" s="147">
        <f t="shared" ca="1" si="18"/>
        <v>8.1132907744349447E-2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7.3643829697767504E-2</v>
      </c>
      <c r="G121" s="147">
        <f t="shared" ca="1" si="17"/>
        <v>0.10437085415604486</v>
      </c>
      <c r="H121" s="147">
        <f t="shared" ca="1" si="17"/>
        <v>8.3625544666233953E-2</v>
      </c>
      <c r="V121" s="7"/>
      <c r="W121" s="147">
        <f t="shared" ref="W121:X141" ca="1" si="19">IF(L91="NA","NA",+L91-1)</f>
        <v>7.3643829697767504E-2</v>
      </c>
      <c r="X121" s="147">
        <f t="shared" ca="1" si="18"/>
        <v>0.10437085415604486</v>
      </c>
      <c r="Y121" s="147">
        <f t="shared" ca="1" si="18"/>
        <v>8.3625544666233953E-2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0.13431231988177506</v>
      </c>
      <c r="G122" s="147">
        <f t="shared" ca="1" si="17"/>
        <v>0.10613996974767748</v>
      </c>
      <c r="H122" s="147">
        <f t="shared" ca="1" si="17"/>
        <v>9.0510761342645685E-2</v>
      </c>
      <c r="V122" s="7"/>
      <c r="W122" s="147">
        <f t="shared" ca="1" si="19"/>
        <v>0.13431231988177506</v>
      </c>
      <c r="X122" s="147">
        <f t="shared" ca="1" si="18"/>
        <v>0.10613996974767748</v>
      </c>
      <c r="Y122" s="147">
        <f t="shared" ca="1" si="18"/>
        <v>9.0510761342645685E-2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0.1598851054262389</v>
      </c>
      <c r="G123" s="147">
        <f t="shared" ca="1" si="17"/>
        <v>0.10359703176201807</v>
      </c>
      <c r="H123" s="147">
        <f t="shared" ca="1" si="17"/>
        <v>9.2971346372429764E-2</v>
      </c>
      <c r="V123" s="7"/>
      <c r="W123" s="147">
        <f t="shared" ca="1" si="19"/>
        <v>0.1598851054262389</v>
      </c>
      <c r="X123" s="147">
        <f t="shared" ca="1" si="18"/>
        <v>0.10359703176201807</v>
      </c>
      <c r="Y123" s="147">
        <f t="shared" ca="1" si="18"/>
        <v>9.2971346372429764E-2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0.13353804417781623</v>
      </c>
      <c r="G124" s="147">
        <f t="shared" ca="1" si="17"/>
        <v>9.7695356813257472E-2</v>
      </c>
      <c r="H124" s="147">
        <f t="shared" ca="1" si="17"/>
        <v>8.9077736772082972E-2</v>
      </c>
      <c r="V124" s="7"/>
      <c r="W124" s="147">
        <f t="shared" ca="1" si="19"/>
        <v>0.13353804417781623</v>
      </c>
      <c r="X124" s="147">
        <f t="shared" ca="1" si="18"/>
        <v>9.7695356813257472E-2</v>
      </c>
      <c r="Y124" s="147">
        <f t="shared" ca="1" si="18"/>
        <v>8.9077736772082972E-2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7.9920345364546952E-2</v>
      </c>
      <c r="G125" s="147">
        <f t="shared" ca="1" si="17"/>
        <v>7.7185697080078164E-2</v>
      </c>
      <c r="H125" s="147">
        <f t="shared" ca="1" si="17"/>
        <v>7.504685513784537E-2</v>
      </c>
      <c r="V125" s="7"/>
      <c r="W125" s="147">
        <f t="shared" ca="1" si="19"/>
        <v>7.9920345364546952E-2</v>
      </c>
      <c r="X125" s="147">
        <f t="shared" ca="1" si="18"/>
        <v>7.7185697080078164E-2</v>
      </c>
      <c r="Y125" s="147">
        <f t="shared" ca="1" si="18"/>
        <v>7.504685513784537E-2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4.7631681774927825E-2</v>
      </c>
      <c r="G126" s="147">
        <f t="shared" ca="1" si="17"/>
        <v>5.5149355879986928E-2</v>
      </c>
      <c r="H126" s="147">
        <f t="shared" ca="1" si="17"/>
        <v>6.428280781753748E-2</v>
      </c>
      <c r="V126" s="7"/>
      <c r="W126" s="147">
        <f t="shared" ca="1" si="19"/>
        <v>4.7631681774927825E-2</v>
      </c>
      <c r="X126" s="147">
        <f t="shared" ca="1" si="18"/>
        <v>5.5149355879986928E-2</v>
      </c>
      <c r="Y126" s="147">
        <f t="shared" ca="1" si="18"/>
        <v>6.428280781753748E-2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6.0793192804551532E-2</v>
      </c>
      <c r="G127" s="147">
        <f t="shared" ca="1" si="17"/>
        <v>6.2580735771507801E-2</v>
      </c>
      <c r="H127" s="147">
        <f t="shared" ca="1" si="17"/>
        <v>6.7477417992287014E-2</v>
      </c>
      <c r="V127" s="7"/>
      <c r="W127" s="147">
        <f t="shared" ca="1" si="19"/>
        <v>6.0793192804551532E-2</v>
      </c>
      <c r="X127" s="147">
        <f t="shared" ca="1" si="18"/>
        <v>6.2580735771507801E-2</v>
      </c>
      <c r="Y127" s="147">
        <f t="shared" ca="1" si="18"/>
        <v>6.7477417992287014E-2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7.4185378475376984E-2</v>
      </c>
      <c r="G128" s="147">
        <f t="shared" ca="1" si="17"/>
        <v>7.3867755655904199E-2</v>
      </c>
      <c r="H128" s="147">
        <f t="shared" ca="1" si="17"/>
        <v>7.5126289590203177E-2</v>
      </c>
      <c r="V128" s="7"/>
      <c r="W128" s="147">
        <f t="shared" ca="1" si="19"/>
        <v>7.4185378475376984E-2</v>
      </c>
      <c r="X128" s="147">
        <f t="shared" ca="1" si="18"/>
        <v>7.3867755655904199E-2</v>
      </c>
      <c r="Y128" s="147">
        <f t="shared" ca="1" si="18"/>
        <v>7.5126289590203177E-2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6.3126163826251247E-2</v>
      </c>
      <c r="G129" s="147">
        <f t="shared" ca="1" si="17"/>
        <v>8.1497214594261402E-2</v>
      </c>
      <c r="H129" s="147">
        <f t="shared" ca="1" si="17"/>
        <v>7.3175046937566934E-2</v>
      </c>
      <c r="V129" s="7"/>
      <c r="W129" s="147">
        <f t="shared" ca="1" si="19"/>
        <v>6.3126163826251247E-2</v>
      </c>
      <c r="X129" s="147">
        <f t="shared" ca="1" si="18"/>
        <v>8.1497214594261402E-2</v>
      </c>
      <c r="Y129" s="147">
        <f t="shared" ca="1" si="18"/>
        <v>7.3175046937566934E-2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6.440794228016955E-2</v>
      </c>
      <c r="G130" s="147">
        <f t="shared" ca="1" si="17"/>
        <v>7.9722568243961955E-2</v>
      </c>
      <c r="H130" s="147">
        <f t="shared" ca="1" si="17"/>
        <v>7.5323917511502581E-2</v>
      </c>
      <c r="V130" s="7"/>
      <c r="W130" s="147">
        <f t="shared" ca="1" si="19"/>
        <v>6.440794228016955E-2</v>
      </c>
      <c r="X130" s="147">
        <f t="shared" ca="1" si="18"/>
        <v>7.9722568243961955E-2</v>
      </c>
      <c r="Y130" s="147">
        <f t="shared" ca="1" si="18"/>
        <v>7.5323917511502581E-2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7.3546671621661952E-2</v>
      </c>
      <c r="G131" s="147">
        <f t="shared" ca="1" si="17"/>
        <v>7.2736939305025894E-2</v>
      </c>
      <c r="H131" s="147">
        <f t="shared" ca="1" si="17"/>
        <v>8.1660639627147313E-2</v>
      </c>
      <c r="V131" s="7"/>
      <c r="W131" s="147">
        <f t="shared" ca="1" si="19"/>
        <v>7.3546671621661952E-2</v>
      </c>
      <c r="X131" s="147">
        <f t="shared" ca="1" si="18"/>
        <v>7.2736939305025894E-2</v>
      </c>
      <c r="Y131" s="147">
        <f t="shared" ca="1" si="18"/>
        <v>8.1660639627147313E-2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0.10064183418108374</v>
      </c>
      <c r="G132" s="147">
        <f t="shared" si="17"/>
        <v>7.3858154273444887E-2</v>
      </c>
      <c r="H132" s="147">
        <f t="shared" si="17"/>
        <v>8.8164630421994961E-2</v>
      </c>
      <c r="V132" s="7"/>
      <c r="W132" s="147">
        <f t="shared" si="19"/>
        <v>0.10064183418108374</v>
      </c>
      <c r="X132" s="147">
        <f t="shared" si="18"/>
        <v>7.3858154273444887E-2</v>
      </c>
      <c r="Y132" s="147">
        <f t="shared" si="18"/>
        <v>8.8164630421994961E-2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9.6532714345868298E-2</v>
      </c>
      <c r="G133" s="147">
        <f t="shared" si="20"/>
        <v>7.2655118930522455E-2</v>
      </c>
      <c r="H133" s="287"/>
      <c r="V133" s="7"/>
      <c r="W133" s="147">
        <f t="shared" si="19"/>
        <v>9.6532714345868298E-2</v>
      </c>
      <c r="X133" s="147">
        <f t="shared" si="18"/>
        <v>7.2655118930522455E-2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7.1896090601049512E-2</v>
      </c>
      <c r="G134" s="147">
        <f t="shared" si="20"/>
        <v>7.6398453925297316E-2</v>
      </c>
      <c r="H134" s="287"/>
      <c r="V134" s="7"/>
      <c r="W134" s="147">
        <f t="shared" si="19"/>
        <v>7.1896090601049512E-2</v>
      </c>
      <c r="X134" s="147">
        <f t="shared" si="18"/>
        <v>7.6398453925297316E-2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4.8319231407772278E-2</v>
      </c>
      <c r="G135" s="147">
        <f t="shared" si="20"/>
        <v>6.4967564518445986E-2</v>
      </c>
      <c r="H135" s="287"/>
      <c r="V135" s="7"/>
      <c r="W135" s="147">
        <f t="shared" si="19"/>
        <v>4.8319231407772278E-2</v>
      </c>
      <c r="X135" s="147">
        <f t="shared" si="18"/>
        <v>6.4967564518445986E-2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5.0932219681524726E-2</v>
      </c>
      <c r="G136" s="147">
        <f t="shared" si="20"/>
        <v>7.0984430802118359E-2</v>
      </c>
      <c r="H136" s="287"/>
      <c r="V136" s="7"/>
      <c r="W136" s="147">
        <f t="shared" si="19"/>
        <v>5.0932219681524726E-2</v>
      </c>
      <c r="X136" s="147">
        <f t="shared" si="19"/>
        <v>7.0984430802118359E-2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8.0622857379767154E-2</v>
      </c>
      <c r="G137" s="147">
        <f t="shared" si="20"/>
        <v>9.0672655302548089E-2</v>
      </c>
      <c r="H137" s="287"/>
      <c r="V137" s="7"/>
      <c r="W137" s="147">
        <f t="shared" si="19"/>
        <v>8.0622857379767154E-2</v>
      </c>
      <c r="X137" s="147">
        <f t="shared" si="19"/>
        <v>9.0672655302548089E-2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8.2053100829343029E-2</v>
      </c>
      <c r="G138" s="147">
        <f t="shared" si="20"/>
        <v>0.10321943176330128</v>
      </c>
      <c r="H138" s="287"/>
      <c r="V138" s="7"/>
      <c r="W138" s="147">
        <f t="shared" si="19"/>
        <v>8.2053100829343029E-2</v>
      </c>
      <c r="X138" s="147">
        <f t="shared" si="19"/>
        <v>0.10321943176330128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9.244485769816535E-2</v>
      </c>
      <c r="G139" s="287"/>
      <c r="H139" s="287"/>
      <c r="V139" s="7"/>
      <c r="W139" s="147">
        <f t="shared" si="19"/>
        <v>9.244485769816535E-2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0.10191605337778187</v>
      </c>
      <c r="G140" s="287"/>
      <c r="H140" s="287"/>
      <c r="V140" s="7"/>
      <c r="W140" s="147">
        <f t="shared" si="19"/>
        <v>0.10191605337778187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0.12660315225028684</v>
      </c>
      <c r="G141" s="287"/>
      <c r="H141" s="287"/>
      <c r="V141" s="7"/>
      <c r="W141" s="147">
        <f t="shared" si="19"/>
        <v>0.12660315225028684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100.89458698895866</v>
      </c>
      <c r="D148" s="73">
        <f t="shared" ref="D148:D183" si="21">+C148*B148</f>
        <v>100.89458698895866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99.675216059479581</v>
      </c>
      <c r="D149" s="281">
        <f t="shared" si="21"/>
        <v>99.675216059479581</v>
      </c>
      <c r="E149" s="281"/>
      <c r="F149" s="10"/>
      <c r="G149" s="10"/>
      <c r="H149" s="10"/>
      <c r="I149" s="281">
        <f t="shared" ref="I149:I182" si="22">AVERAGE(C148:C150)</f>
        <v>102.82659411298313</v>
      </c>
      <c r="J149" s="281">
        <f t="shared" ref="J149:J182" si="23">AVERAGE(D148:D150)</f>
        <v>102.82659411298313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107.90997929051117</v>
      </c>
      <c r="D150" s="281">
        <f t="shared" si="21"/>
        <v>107.90997929051117</v>
      </c>
      <c r="E150" s="281"/>
      <c r="F150" s="10"/>
      <c r="G150" s="10"/>
      <c r="H150" s="10"/>
      <c r="I150" s="281">
        <f t="shared" si="22"/>
        <v>105.29397668688533</v>
      </c>
      <c r="J150" s="281">
        <f t="shared" si="23"/>
        <v>105.29397668688533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108.29673471066521</v>
      </c>
      <c r="D151" s="281">
        <f t="shared" si="21"/>
        <v>108.29673471066521</v>
      </c>
      <c r="E151" s="281"/>
      <c r="F151" s="10"/>
      <c r="G151" s="10"/>
      <c r="H151" s="10"/>
      <c r="I151" s="281">
        <f t="shared" si="22"/>
        <v>110.32540692218294</v>
      </c>
      <c r="J151" s="281">
        <f t="shared" si="23"/>
        <v>110.32540692218294</v>
      </c>
      <c r="K151" s="10"/>
      <c r="L151" s="10"/>
      <c r="M151" s="10"/>
      <c r="N151" s="10"/>
      <c r="O151" s="281">
        <f t="shared" ref="O151:O181" si="24">AVERAGE(C148:C153)</f>
        <v>108.21266258821616</v>
      </c>
      <c r="P151" s="281">
        <f t="shared" ref="P151:P181" si="25">AVERAGE(D148:D153)</f>
        <v>108.21266258821616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114.76950676537243</v>
      </c>
      <c r="D152" s="281">
        <f t="shared" si="21"/>
        <v>114.76950676537243</v>
      </c>
      <c r="E152" s="281"/>
      <c r="F152" s="10"/>
      <c r="G152" s="10"/>
      <c r="H152" s="10"/>
      <c r="I152" s="281">
        <f t="shared" si="22"/>
        <v>113.59873106344916</v>
      </c>
      <c r="J152" s="281">
        <f t="shared" si="23"/>
        <v>113.59873106344916</v>
      </c>
      <c r="K152" s="10"/>
      <c r="L152" s="10"/>
      <c r="M152" s="10"/>
      <c r="N152" s="10"/>
      <c r="O152" s="281">
        <f t="shared" si="24"/>
        <v>111.54678433493287</v>
      </c>
      <c r="P152" s="281">
        <f t="shared" si="25"/>
        <v>111.54678433493287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117.72995171430985</v>
      </c>
      <c r="D153" s="281">
        <f t="shared" si="21"/>
        <v>117.72995171430985</v>
      </c>
      <c r="E153" s="281"/>
      <c r="F153" s="10"/>
      <c r="G153" s="10"/>
      <c r="H153" s="10"/>
      <c r="I153" s="281">
        <f t="shared" si="22"/>
        <v>117.79959198298037</v>
      </c>
      <c r="J153" s="281">
        <f t="shared" si="23"/>
        <v>117.79959198298037</v>
      </c>
      <c r="K153" s="10"/>
      <c r="L153" s="10"/>
      <c r="M153" s="10"/>
      <c r="N153" s="10"/>
      <c r="O153" s="281">
        <f t="shared" si="24"/>
        <v>114.19934325585734</v>
      </c>
      <c r="P153" s="281">
        <f t="shared" si="25"/>
        <v>114.19934325585734</v>
      </c>
      <c r="Q153" s="10"/>
      <c r="R153" s="10"/>
      <c r="S153" s="10"/>
      <c r="U153" s="281">
        <f t="shared" ref="U153:U177" si="26">AVERAGE(C148:C159)</f>
        <v>111.04278863565197</v>
      </c>
      <c r="V153" s="281">
        <f t="shared" ref="V153:V177" si="27">AVERAGE(D148:D159)</f>
        <v>111.04278863565197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120.89931746925885</v>
      </c>
      <c r="D154" s="281">
        <f t="shared" si="21"/>
        <v>120.89931746925885</v>
      </c>
      <c r="E154" s="281"/>
      <c r="F154" s="10"/>
      <c r="G154" s="10"/>
      <c r="H154" s="10"/>
      <c r="I154" s="281">
        <f t="shared" si="22"/>
        <v>118.07327958953175</v>
      </c>
      <c r="J154" s="281">
        <f t="shared" si="23"/>
        <v>118.07327958953175</v>
      </c>
      <c r="K154" s="10"/>
      <c r="L154" s="10"/>
      <c r="M154" s="10"/>
      <c r="N154" s="10"/>
      <c r="O154" s="281">
        <f t="shared" si="24"/>
        <v>115.09034372016781</v>
      </c>
      <c r="P154" s="281">
        <f t="shared" si="25"/>
        <v>115.09034372016781</v>
      </c>
      <c r="Q154" s="10"/>
      <c r="R154" s="10"/>
      <c r="S154" s="10"/>
      <c r="U154" s="281">
        <f t="shared" si="26"/>
        <v>112.09875791708555</v>
      </c>
      <c r="V154" s="281">
        <f t="shared" si="27"/>
        <v>112.09875791708555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115.59056958502657</v>
      </c>
      <c r="D155" s="281">
        <f t="shared" si="21"/>
        <v>115.59056958502657</v>
      </c>
      <c r="E155" s="281"/>
      <c r="F155" s="10"/>
      <c r="G155" s="10"/>
      <c r="H155" s="10"/>
      <c r="I155" s="281">
        <f t="shared" si="22"/>
        <v>116.58195637688645</v>
      </c>
      <c r="J155" s="281">
        <f t="shared" si="23"/>
        <v>116.58195637688645</v>
      </c>
      <c r="K155" s="10"/>
      <c r="L155" s="10"/>
      <c r="M155" s="10"/>
      <c r="N155" s="10"/>
      <c r="O155" s="281">
        <f t="shared" si="24"/>
        <v>114.1633284376632</v>
      </c>
      <c r="P155" s="281">
        <f t="shared" si="25"/>
        <v>114.1633284376632</v>
      </c>
      <c r="Q155" s="10"/>
      <c r="R155" s="10"/>
      <c r="S155" s="10"/>
      <c r="U155" s="281">
        <f t="shared" si="26"/>
        <v>113.43132449391771</v>
      </c>
      <c r="V155" s="281">
        <f t="shared" si="27"/>
        <v>113.43132449391771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113.25598207637394</v>
      </c>
      <c r="D156" s="281">
        <f t="shared" si="21"/>
        <v>113.25598207637394</v>
      </c>
      <c r="E156" s="281"/>
      <c r="F156" s="10"/>
      <c r="G156" s="10"/>
      <c r="H156" s="10"/>
      <c r="I156" s="281">
        <f t="shared" si="22"/>
        <v>110.527064892346</v>
      </c>
      <c r="J156" s="281">
        <f t="shared" si="23"/>
        <v>110.527064892346</v>
      </c>
      <c r="K156" s="10"/>
      <c r="L156" s="10"/>
      <c r="M156" s="10"/>
      <c r="N156" s="10"/>
      <c r="O156" s="281">
        <f t="shared" si="24"/>
        <v>112.74585782753446</v>
      </c>
      <c r="P156" s="281">
        <f t="shared" si="25"/>
        <v>112.74585782753446</v>
      </c>
      <c r="Q156" s="10"/>
      <c r="R156" s="10"/>
      <c r="S156" s="10"/>
      <c r="U156" s="281">
        <f t="shared" si="26"/>
        <v>114.2973313731181</v>
      </c>
      <c r="V156" s="281">
        <f t="shared" si="27"/>
        <v>114.2973313731181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102.7346430156375</v>
      </c>
      <c r="D157" s="281">
        <f t="shared" si="21"/>
        <v>102.7346430156375</v>
      </c>
      <c r="E157" s="281"/>
      <c r="F157" s="10"/>
      <c r="G157" s="10"/>
      <c r="H157" s="10"/>
      <c r="I157" s="281">
        <f t="shared" si="22"/>
        <v>107.41843606553721</v>
      </c>
      <c r="J157" s="281">
        <f t="shared" si="23"/>
        <v>107.41843606553721</v>
      </c>
      <c r="K157" s="10"/>
      <c r="L157" s="10"/>
      <c r="M157" s="10"/>
      <c r="N157" s="10"/>
      <c r="O157" s="281">
        <f t="shared" si="24"/>
        <v>113.87291468308784</v>
      </c>
      <c r="P157" s="281">
        <f t="shared" si="25"/>
        <v>113.87291468308784</v>
      </c>
      <c r="Q157" s="10"/>
      <c r="R157" s="10"/>
      <c r="S157" s="10"/>
      <c r="U157" s="281">
        <f t="shared" si="26"/>
        <v>114.78154455418041</v>
      </c>
      <c r="V157" s="281">
        <f t="shared" si="27"/>
        <v>114.78154455418041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106.26468310460019</v>
      </c>
      <c r="D158" s="281">
        <f t="shared" si="21"/>
        <v>106.26468310460019</v>
      </c>
      <c r="E158" s="281"/>
      <c r="F158" s="10"/>
      <c r="G158" s="10"/>
      <c r="H158" s="10"/>
      <c r="I158" s="281">
        <f t="shared" si="22"/>
        <v>111.16387298928923</v>
      </c>
      <c r="J158" s="281">
        <f t="shared" si="23"/>
        <v>111.16387298928923</v>
      </c>
      <c r="K158" s="10"/>
      <c r="L158" s="10"/>
      <c r="M158" s="10"/>
      <c r="N158" s="10"/>
      <c r="O158" s="281">
        <f t="shared" si="24"/>
        <v>112.65073149923825</v>
      </c>
      <c r="P158" s="281">
        <f t="shared" si="25"/>
        <v>112.65073149923825</v>
      </c>
      <c r="Q158" s="10"/>
      <c r="R158" s="10"/>
      <c r="S158" s="10"/>
      <c r="U158" s="281">
        <f t="shared" si="26"/>
        <v>115.98107862977106</v>
      </c>
      <c r="V158" s="281">
        <f t="shared" si="27"/>
        <v>115.98107862977106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124.49229284762997</v>
      </c>
      <c r="D159" s="281">
        <f t="shared" si="21"/>
        <v>124.49229284762997</v>
      </c>
      <c r="E159" s="281"/>
      <c r="F159" s="10"/>
      <c r="G159" s="10"/>
      <c r="H159" s="10"/>
      <c r="I159" s="281">
        <f t="shared" si="22"/>
        <v>114.7743981061305</v>
      </c>
      <c r="J159" s="281">
        <f t="shared" si="23"/>
        <v>114.7743981061305</v>
      </c>
      <c r="K159" s="10"/>
      <c r="L159" s="10"/>
      <c r="M159" s="10"/>
      <c r="N159" s="10"/>
      <c r="O159" s="281">
        <f t="shared" si="24"/>
        <v>112.6633057319781</v>
      </c>
      <c r="P159" s="281">
        <f t="shared" si="25"/>
        <v>112.6633057319781</v>
      </c>
      <c r="Q159" s="10"/>
      <c r="R159" s="10"/>
      <c r="S159" s="10"/>
      <c r="U159" s="281">
        <f t="shared" si="26"/>
        <v>116.62761340662678</v>
      </c>
      <c r="V159" s="281">
        <f t="shared" si="27"/>
        <v>116.62761340662678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113.56621836616137</v>
      </c>
      <c r="D160" s="281">
        <f t="shared" si="21"/>
        <v>113.56621836616137</v>
      </c>
      <c r="E160" s="281"/>
      <c r="F160" s="283">
        <f t="shared" ref="F160:F183" si="28">+C160/C148</f>
        <v>1.1255927771287613</v>
      </c>
      <c r="G160" s="283">
        <f t="shared" ref="G160:G183" si="29">+D160/D148</f>
        <v>1.1255927771287613</v>
      </c>
      <c r="H160" s="10"/>
      <c r="I160" s="281">
        <f t="shared" si="22"/>
        <v>117.908175398419</v>
      </c>
      <c r="J160" s="281">
        <f t="shared" si="23"/>
        <v>117.908175398419</v>
      </c>
      <c r="K160" s="10"/>
      <c r="L160" s="283"/>
      <c r="M160" s="283"/>
      <c r="N160" s="10"/>
      <c r="O160" s="281">
        <f t="shared" si="24"/>
        <v>113.5043190260684</v>
      </c>
      <c r="P160" s="281">
        <f t="shared" si="25"/>
        <v>113.5043190260684</v>
      </c>
      <c r="Q160" s="10"/>
      <c r="R160" s="283"/>
      <c r="S160" s="283"/>
      <c r="U160" s="281">
        <f t="shared" si="26"/>
        <v>117.15587948014007</v>
      </c>
      <c r="V160" s="281">
        <f t="shared" si="27"/>
        <v>117.15587948014007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115.66601498146562</v>
      </c>
      <c r="D161" s="281">
        <f t="shared" si="21"/>
        <v>115.66601498146562</v>
      </c>
      <c r="E161" s="281"/>
      <c r="F161" s="283">
        <f t="shared" si="28"/>
        <v>1.1604290369678636</v>
      </c>
      <c r="G161" s="283">
        <f t="shared" si="29"/>
        <v>1.1604290369678636</v>
      </c>
      <c r="H161" s="10"/>
      <c r="I161" s="281">
        <f t="shared" si="22"/>
        <v>115.84476506284757</v>
      </c>
      <c r="J161" s="281">
        <f t="shared" si="23"/>
        <v>115.84476506284757</v>
      </c>
      <c r="K161" s="10"/>
      <c r="L161" s="283">
        <f t="shared" ref="L161:M182" si="30">+I161/I149</f>
        <v>1.1266031522502868</v>
      </c>
      <c r="M161" s="283">
        <f t="shared" si="30"/>
        <v>1.1266031522502868</v>
      </c>
      <c r="N161" s="10"/>
      <c r="O161" s="281">
        <f t="shared" si="24"/>
        <v>115.39976067069767</v>
      </c>
      <c r="P161" s="281">
        <f t="shared" si="25"/>
        <v>115.39976067069767</v>
      </c>
      <c r="Q161" s="10"/>
      <c r="R161" s="283"/>
      <c r="S161" s="283"/>
      <c r="U161" s="281">
        <f t="shared" si="26"/>
        <v>117.4845121834141</v>
      </c>
      <c r="V161" s="281">
        <f t="shared" si="27"/>
        <v>117.4845121834141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118.30206184091573</v>
      </c>
      <c r="D162" s="281">
        <f t="shared" si="21"/>
        <v>118.30206184091573</v>
      </c>
      <c r="E162" s="281"/>
      <c r="F162" s="283">
        <f t="shared" si="28"/>
        <v>1.0963032577592049</v>
      </c>
      <c r="G162" s="283">
        <f t="shared" si="29"/>
        <v>1.0963032577592049</v>
      </c>
      <c r="H162" s="10"/>
      <c r="I162" s="281">
        <f t="shared" si="22"/>
        <v>116.02512323526484</v>
      </c>
      <c r="J162" s="281">
        <f t="shared" si="23"/>
        <v>116.02512323526484</v>
      </c>
      <c r="K162" s="10"/>
      <c r="L162" s="283">
        <f t="shared" si="30"/>
        <v>1.1019160533777819</v>
      </c>
      <c r="M162" s="283">
        <f t="shared" si="30"/>
        <v>1.1019160533777819</v>
      </c>
      <c r="N162" s="10"/>
      <c r="O162" s="281">
        <f t="shared" si="24"/>
        <v>119.21629943200766</v>
      </c>
      <c r="P162" s="281">
        <f t="shared" si="25"/>
        <v>119.21629943200766</v>
      </c>
      <c r="Q162" s="10"/>
      <c r="R162" s="283"/>
      <c r="S162" s="283"/>
      <c r="U162" s="281">
        <f t="shared" si="26"/>
        <v>118.03590103866316</v>
      </c>
      <c r="V162" s="281">
        <f t="shared" si="27"/>
        <v>118.03590103866316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114.10729288341315</v>
      </c>
      <c r="D163" s="281">
        <f t="shared" si="21"/>
        <v>114.10729288341315</v>
      </c>
      <c r="E163" s="281"/>
      <c r="F163" s="283">
        <f t="shared" si="28"/>
        <v>1.0536540477261105</v>
      </c>
      <c r="G163" s="283">
        <f t="shared" si="29"/>
        <v>1.0536540477261105</v>
      </c>
      <c r="H163" s="10"/>
      <c r="I163" s="281">
        <f t="shared" si="22"/>
        <v>120.52442346559633</v>
      </c>
      <c r="J163" s="281">
        <f t="shared" si="23"/>
        <v>120.52442346559633</v>
      </c>
      <c r="K163" s="10"/>
      <c r="L163" s="283">
        <f t="shared" si="30"/>
        <v>1.0924448576981654</v>
      </c>
      <c r="M163" s="283">
        <f t="shared" si="30"/>
        <v>1.0924448576981654</v>
      </c>
      <c r="N163" s="10"/>
      <c r="O163" s="281">
        <f t="shared" si="24"/>
        <v>119.38231213016569</v>
      </c>
      <c r="P163" s="281">
        <f t="shared" si="25"/>
        <v>119.38231213016569</v>
      </c>
      <c r="Q163" s="10"/>
      <c r="R163" s="283">
        <f t="shared" ref="R163:R181" si="31">+O163/O151</f>
        <v>1.1032194317633013</v>
      </c>
      <c r="S163" s="283">
        <f t="shared" ref="S163:S181" si="32">+P163/P151</f>
        <v>1.1032194317633013</v>
      </c>
      <c r="U163" s="281">
        <f t="shared" si="26"/>
        <v>119.14249544798211</v>
      </c>
      <c r="V163" s="281">
        <f t="shared" si="27"/>
        <v>119.14249544798211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129.16391567246009</v>
      </c>
      <c r="D164" s="281">
        <f t="shared" si="21"/>
        <v>129.16391567246009</v>
      </c>
      <c r="E164" s="281"/>
      <c r="F164" s="283">
        <f t="shared" si="28"/>
        <v>1.1254201513344018</v>
      </c>
      <c r="G164" s="283">
        <f t="shared" si="29"/>
        <v>1.1254201513344018</v>
      </c>
      <c r="H164" s="10"/>
      <c r="I164" s="281">
        <f t="shared" si="22"/>
        <v>122.91985919748379</v>
      </c>
      <c r="J164" s="281">
        <f t="shared" si="23"/>
        <v>122.91985919748379</v>
      </c>
      <c r="K164" s="10"/>
      <c r="L164" s="283">
        <f t="shared" si="30"/>
        <v>1.082053100829343</v>
      </c>
      <c r="M164" s="283">
        <f t="shared" si="30"/>
        <v>1.082053100829343</v>
      </c>
      <c r="N164" s="10"/>
      <c r="O164" s="281">
        <f t="shared" si="24"/>
        <v>121.6610274610419</v>
      </c>
      <c r="P164" s="281">
        <f t="shared" si="25"/>
        <v>121.6610274610419</v>
      </c>
      <c r="Q164" s="10"/>
      <c r="R164" s="283">
        <f t="shared" si="31"/>
        <v>1.0906726553025481</v>
      </c>
      <c r="S164" s="283">
        <f t="shared" si="32"/>
        <v>1.0906726553025481</v>
      </c>
      <c r="U164" s="281">
        <f t="shared" si="26"/>
        <v>120.07686048446271</v>
      </c>
      <c r="V164" s="281">
        <f t="shared" si="27"/>
        <v>120.07686048446271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125.48836903657812</v>
      </c>
      <c r="D165" s="281">
        <f t="shared" si="21"/>
        <v>125.48836903657812</v>
      </c>
      <c r="E165" s="281"/>
      <c r="F165" s="283">
        <f t="shared" si="28"/>
        <v>1.0659001147056892</v>
      </c>
      <c r="G165" s="283">
        <f t="shared" si="29"/>
        <v>1.0659001147056892</v>
      </c>
      <c r="H165" s="10"/>
      <c r="I165" s="281">
        <f t="shared" si="22"/>
        <v>127.29693168681895</v>
      </c>
      <c r="J165" s="281">
        <f t="shared" si="23"/>
        <v>127.29693168681895</v>
      </c>
      <c r="K165" s="10"/>
      <c r="L165" s="283">
        <f t="shared" si="30"/>
        <v>1.0806228573797672</v>
      </c>
      <c r="M165" s="283">
        <f t="shared" si="30"/>
        <v>1.0806228573797672</v>
      </c>
      <c r="N165" s="10"/>
      <c r="O165" s="281">
        <f t="shared" si="24"/>
        <v>122.30571863485011</v>
      </c>
      <c r="P165" s="281">
        <f t="shared" si="25"/>
        <v>122.30571863485011</v>
      </c>
      <c r="Q165" s="10"/>
      <c r="R165" s="283">
        <f t="shared" si="31"/>
        <v>1.0709844308021184</v>
      </c>
      <c r="S165" s="283">
        <f t="shared" si="32"/>
        <v>1.0709844308021184</v>
      </c>
      <c r="U165" s="281">
        <f t="shared" si="26"/>
        <v>120.83283505674194</v>
      </c>
      <c r="V165" s="281">
        <f t="shared" si="27"/>
        <v>120.83283505674194</v>
      </c>
      <c r="W165" s="10"/>
      <c r="X165" s="283">
        <f t="shared" ref="X165:X177" si="33">+U165/U153</f>
        <v>1.088164630421995</v>
      </c>
      <c r="Y165" s="283">
        <f t="shared" ref="Y165:Y177" si="34">+V165/V153</f>
        <v>1.088164630421995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127.23851035141863</v>
      </c>
      <c r="D166" s="281">
        <f t="shared" si="21"/>
        <v>127.23851035141863</v>
      </c>
      <c r="E166" s="281"/>
      <c r="F166" s="283">
        <f t="shared" si="28"/>
        <v>1.0524336531822991</v>
      </c>
      <c r="G166" s="283">
        <f t="shared" si="29"/>
        <v>1.0524336531822991</v>
      </c>
      <c r="H166" s="10"/>
      <c r="I166" s="281">
        <f t="shared" si="22"/>
        <v>124.08701380410388</v>
      </c>
      <c r="J166" s="281">
        <f t="shared" si="23"/>
        <v>124.08701380410388</v>
      </c>
      <c r="K166" s="10"/>
      <c r="L166" s="283">
        <f t="shared" si="30"/>
        <v>1.0509322196815247</v>
      </c>
      <c r="M166" s="283">
        <f t="shared" si="30"/>
        <v>1.0509322196815247</v>
      </c>
      <c r="N166" s="10"/>
      <c r="O166" s="281">
        <f t="shared" si="24"/>
        <v>122.56748305125792</v>
      </c>
      <c r="P166" s="281">
        <f t="shared" si="25"/>
        <v>122.56748305125792</v>
      </c>
      <c r="Q166" s="10"/>
      <c r="R166" s="283">
        <f t="shared" si="31"/>
        <v>1.064967564518446</v>
      </c>
      <c r="S166" s="283">
        <f t="shared" si="32"/>
        <v>1.064967564518446</v>
      </c>
      <c r="U166" s="281">
        <f t="shared" ca="1" si="26"/>
        <v>121.25281419000351</v>
      </c>
      <c r="V166" s="281">
        <f t="shared" ca="1" si="27"/>
        <v>121.25281419000351</v>
      </c>
      <c r="W166" s="10"/>
      <c r="X166" s="283">
        <f t="shared" ca="1" si="33"/>
        <v>1.0816606396271473</v>
      </c>
      <c r="Y166" s="283">
        <f t="shared" ca="1" si="34"/>
        <v>1.0816606396271473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119.53416202431487</v>
      </c>
      <c r="D167" s="281">
        <f t="shared" si="21"/>
        <v>119.53416202431487</v>
      </c>
      <c r="E167" s="281"/>
      <c r="F167" s="283">
        <f t="shared" si="28"/>
        <v>1.0341169046354379</v>
      </c>
      <c r="G167" s="283">
        <f t="shared" si="29"/>
        <v>1.0341169046354379</v>
      </c>
      <c r="H167" s="10"/>
      <c r="I167" s="281">
        <f t="shared" si="22"/>
        <v>122.21510690503203</v>
      </c>
      <c r="J167" s="281">
        <f t="shared" si="23"/>
        <v>122.21510690503203</v>
      </c>
      <c r="K167" s="10"/>
      <c r="L167" s="283">
        <f t="shared" si="30"/>
        <v>1.0483192314077723</v>
      </c>
      <c r="M167" s="283">
        <f t="shared" si="30"/>
        <v>1.0483192314077723</v>
      </c>
      <c r="N167" s="10"/>
      <c r="O167" s="281">
        <f t="shared" si="24"/>
        <v>122.88523022526658</v>
      </c>
      <c r="P167" s="281">
        <f t="shared" si="25"/>
        <v>122.88523022526658</v>
      </c>
      <c r="Q167" s="10"/>
      <c r="R167" s="283">
        <f t="shared" si="31"/>
        <v>1.0763984539252973</v>
      </c>
      <c r="S167" s="283">
        <f t="shared" si="32"/>
        <v>1.0763984539252973</v>
      </c>
      <c r="U167" s="281">
        <f t="shared" ca="1" si="26"/>
        <v>121.97541622331806</v>
      </c>
      <c r="V167" s="281">
        <f t="shared" ca="1" si="27"/>
        <v>121.97541622331806</v>
      </c>
      <c r="W167" s="10"/>
      <c r="X167" s="283">
        <f t="shared" ca="1" si="33"/>
        <v>1.0753239175115026</v>
      </c>
      <c r="Y167" s="283">
        <f t="shared" ca="1" si="34"/>
        <v>1.0753239175115026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119.87264833936263</v>
      </c>
      <c r="D168" s="281">
        <f t="shared" si="21"/>
        <v>119.87264833936263</v>
      </c>
      <c r="E168" s="281"/>
      <c r="F168" s="283">
        <f t="shared" si="28"/>
        <v>1.0584222231945926</v>
      </c>
      <c r="G168" s="283">
        <f t="shared" si="29"/>
        <v>1.0584222231945926</v>
      </c>
      <c r="H168" s="10"/>
      <c r="I168" s="281">
        <f t="shared" si="22"/>
        <v>118.47352876371419</v>
      </c>
      <c r="J168" s="281">
        <f t="shared" si="23"/>
        <v>118.47352876371419</v>
      </c>
      <c r="K168" s="10"/>
      <c r="L168" s="283">
        <f t="shared" si="30"/>
        <v>1.0718960906010495</v>
      </c>
      <c r="M168" s="283">
        <f t="shared" si="30"/>
        <v>1.0718960906010495</v>
      </c>
      <c r="N168" s="10"/>
      <c r="O168" s="281">
        <f t="shared" si="24"/>
        <v>120.93742153691777</v>
      </c>
      <c r="P168" s="281">
        <f t="shared" si="25"/>
        <v>120.93742153691777</v>
      </c>
      <c r="Q168" s="10"/>
      <c r="R168" s="283">
        <f t="shared" si="31"/>
        <v>1.0726551189305225</v>
      </c>
      <c r="S168" s="283">
        <f t="shared" si="32"/>
        <v>1.0726551189305225</v>
      </c>
      <c r="U168" s="281">
        <f t="shared" ca="1" si="26"/>
        <v>122.66104396118466</v>
      </c>
      <c r="V168" s="281">
        <f t="shared" ca="1" si="27"/>
        <v>122.66104396118466</v>
      </c>
      <c r="W168" s="10"/>
      <c r="X168" s="283">
        <f t="shared" ca="1" si="33"/>
        <v>1.0731750469375669</v>
      </c>
      <c r="Y168" s="283">
        <f t="shared" ca="1" si="34"/>
        <v>1.0731750469375669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116.01377592746509</v>
      </c>
      <c r="D169" s="281">
        <f t="shared" si="21"/>
        <v>116.01377592746509</v>
      </c>
      <c r="E169" s="281"/>
      <c r="F169" s="283">
        <f t="shared" si="28"/>
        <v>1.1292566219343005</v>
      </c>
      <c r="G169" s="283">
        <f t="shared" si="29"/>
        <v>1.1292566219343005</v>
      </c>
      <c r="H169" s="10"/>
      <c r="I169" s="281">
        <f t="shared" si="22"/>
        <v>117.78782926973163</v>
      </c>
      <c r="J169" s="281">
        <f t="shared" si="23"/>
        <v>117.78782926973163</v>
      </c>
      <c r="K169" s="10"/>
      <c r="L169" s="283">
        <f t="shared" si="30"/>
        <v>1.0965327143458683</v>
      </c>
      <c r="M169" s="283">
        <f t="shared" si="30"/>
        <v>1.0965327143458683</v>
      </c>
      <c r="N169" s="10"/>
      <c r="O169" s="281">
        <f t="shared" si="24"/>
        <v>122.28335798331818</v>
      </c>
      <c r="P169" s="281">
        <f t="shared" si="25"/>
        <v>122.28335798331818</v>
      </c>
      <c r="Q169" s="10"/>
      <c r="R169" s="283">
        <f t="shared" si="31"/>
        <v>1.0738581542734449</v>
      </c>
      <c r="S169" s="283">
        <f t="shared" si="32"/>
        <v>1.0738581542734449</v>
      </c>
      <c r="U169" s="281">
        <f t="shared" ca="1" si="26"/>
        <v>123.40465610996858</v>
      </c>
      <c r="V169" s="281">
        <f t="shared" ca="1" si="27"/>
        <v>123.40465610996858</v>
      </c>
      <c r="W169" s="10"/>
      <c r="X169" s="283">
        <f t="shared" ca="1" si="33"/>
        <v>1.0751262895902032</v>
      </c>
      <c r="Y169" s="283">
        <f t="shared" ca="1" si="34"/>
        <v>1.0751262895902032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117.47706354236719</v>
      </c>
      <c r="D170" s="281">
        <f t="shared" si="21"/>
        <v>117.47706354236719</v>
      </c>
      <c r="E170" s="281"/>
      <c r="F170" s="283">
        <f t="shared" si="28"/>
        <v>1.1055137051199808</v>
      </c>
      <c r="G170" s="283">
        <f t="shared" si="29"/>
        <v>1.1055137051199808</v>
      </c>
      <c r="H170" s="10"/>
      <c r="I170" s="281">
        <f t="shared" si="22"/>
        <v>122.35160906160434</v>
      </c>
      <c r="J170" s="281">
        <f t="shared" si="23"/>
        <v>122.35160906160434</v>
      </c>
      <c r="K170" s="10"/>
      <c r="L170" s="283">
        <f t="shared" si="30"/>
        <v>1.1006418341810837</v>
      </c>
      <c r="M170" s="283">
        <f t="shared" si="30"/>
        <v>1.1006418341810837</v>
      </c>
      <c r="N170" s="10"/>
      <c r="O170" s="281">
        <f t="shared" ca="1" si="24"/>
        <v>120.8446009189651</v>
      </c>
      <c r="P170" s="281">
        <f t="shared" ca="1" si="25"/>
        <v>120.8446009189651</v>
      </c>
      <c r="Q170" s="10"/>
      <c r="R170" s="283">
        <f t="shared" ca="1" si="31"/>
        <v>1.0727369393050259</v>
      </c>
      <c r="S170" s="283">
        <f t="shared" ca="1" si="32"/>
        <v>1.0727369393050259</v>
      </c>
      <c r="U170" s="281">
        <f t="shared" ca="1" si="26"/>
        <v>123.80718235166843</v>
      </c>
      <c r="V170" s="281">
        <f t="shared" ca="1" si="27"/>
        <v>123.80718235166843</v>
      </c>
      <c r="W170" s="10"/>
      <c r="X170" s="283">
        <f t="shared" ca="1" si="33"/>
        <v>1.067477417992287</v>
      </c>
      <c r="Y170" s="283">
        <f t="shared" ca="1" si="34"/>
        <v>1.067477417992287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133.5639877149807</v>
      </c>
      <c r="D171" s="281">
        <f t="shared" si="21"/>
        <v>133.5639877149807</v>
      </c>
      <c r="E171" s="281"/>
      <c r="F171" s="283">
        <f t="shared" si="28"/>
        <v>1.0728695299913373</v>
      </c>
      <c r="G171" s="283">
        <f t="shared" si="29"/>
        <v>1.0728695299913373</v>
      </c>
      <c r="H171" s="10"/>
      <c r="I171" s="281">
        <f t="shared" ca="1" si="22"/>
        <v>123.21567307421599</v>
      </c>
      <c r="J171" s="281">
        <f t="shared" ca="1" si="23"/>
        <v>123.21567307421599</v>
      </c>
      <c r="K171" s="10"/>
      <c r="L171" s="283">
        <f t="shared" ca="1" si="30"/>
        <v>1.073546671621662</v>
      </c>
      <c r="M171" s="283">
        <f t="shared" ca="1" si="30"/>
        <v>1.073546671621662</v>
      </c>
      <c r="N171" s="10"/>
      <c r="O171" s="281">
        <f t="shared" ca="1" si="24"/>
        <v>121.64511381178606</v>
      </c>
      <c r="P171" s="281">
        <f t="shared" ca="1" si="25"/>
        <v>121.64511381178606</v>
      </c>
      <c r="Q171" s="10"/>
      <c r="R171" s="283">
        <f t="shared" ca="1" si="31"/>
        <v>1.079722568243962</v>
      </c>
      <c r="S171" s="283">
        <f t="shared" ca="1" si="32"/>
        <v>1.079722568243962</v>
      </c>
      <c r="U171" s="281">
        <f t="shared" ca="1" si="26"/>
        <v>124.12476386546302</v>
      </c>
      <c r="V171" s="281">
        <f t="shared" ca="1" si="27"/>
        <v>124.12476386546302</v>
      </c>
      <c r="W171" s="10"/>
      <c r="X171" s="283">
        <f t="shared" ca="1" si="33"/>
        <v>1.0642828078175375</v>
      </c>
      <c r="Y171" s="283">
        <f t="shared" ca="1" si="34"/>
        <v>1.0642828078175375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118.6059679653001</v>
      </c>
      <c r="D172" s="281">
        <f t="shared" ca="1" si="21"/>
        <v>118.6059679653001</v>
      </c>
      <c r="E172" s="281"/>
      <c r="F172" s="283">
        <f t="shared" ca="1" si="28"/>
        <v>1.044377189551998</v>
      </c>
      <c r="G172" s="283">
        <f t="shared" ca="1" si="29"/>
        <v>1.044377189551998</v>
      </c>
      <c r="H172" s="10"/>
      <c r="I172" s="281">
        <f t="shared" ca="1" si="22"/>
        <v>125.50239835384048</v>
      </c>
      <c r="J172" s="281">
        <f t="shared" ca="1" si="23"/>
        <v>125.50239835384048</v>
      </c>
      <c r="K172" s="10"/>
      <c r="L172" s="283">
        <f t="shared" ca="1" si="30"/>
        <v>1.0644079422801696</v>
      </c>
      <c r="M172" s="283">
        <f t="shared" ca="1" si="30"/>
        <v>1.0644079422801696</v>
      </c>
      <c r="N172" s="10"/>
      <c r="O172" s="281">
        <f t="shared" ca="1" si="24"/>
        <v>122.7546048711114</v>
      </c>
      <c r="P172" s="281">
        <f t="shared" ca="1" si="25"/>
        <v>122.7546048711114</v>
      </c>
      <c r="Q172" s="10"/>
      <c r="R172" s="283">
        <f t="shared" ca="1" si="31"/>
        <v>1.0814972145942614</v>
      </c>
      <c r="S172" s="283">
        <f t="shared" ca="1" si="32"/>
        <v>1.0814972145942614</v>
      </c>
      <c r="U172" s="281">
        <f t="shared" ca="1" si="26"/>
        <v>125.94805979603301</v>
      </c>
      <c r="V172" s="281">
        <f t="shared" ca="1" si="27"/>
        <v>125.94805979603301</v>
      </c>
      <c r="W172" s="10"/>
      <c r="X172" s="283">
        <f t="shared" ca="1" si="33"/>
        <v>1.0750468551378454</v>
      </c>
      <c r="Y172" s="283">
        <f t="shared" ca="1" si="34"/>
        <v>1.0750468551378454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124.33723938124062</v>
      </c>
      <c r="D173" s="281">
        <f t="shared" ca="1" si="21"/>
        <v>124.33723938124062</v>
      </c>
      <c r="E173" s="281"/>
      <c r="F173" s="283">
        <f t="shared" ca="1" si="28"/>
        <v>1.0749677803040458</v>
      </c>
      <c r="G173" s="283">
        <f t="shared" ca="1" si="29"/>
        <v>1.0749677803040458</v>
      </c>
      <c r="H173" s="10"/>
      <c r="I173" s="281">
        <f t="shared" ca="1" si="22"/>
        <v>123.15760068061847</v>
      </c>
      <c r="J173" s="281">
        <f t="shared" ca="1" si="23"/>
        <v>123.15760068061847</v>
      </c>
      <c r="K173" s="10"/>
      <c r="L173" s="283">
        <f t="shared" ca="1" si="30"/>
        <v>1.0631261638262512</v>
      </c>
      <c r="M173" s="283">
        <f t="shared" ca="1" si="30"/>
        <v>1.0631261638262512</v>
      </c>
      <c r="N173" s="10"/>
      <c r="O173" s="281">
        <f t="shared" ca="1" si="24"/>
        <v>123.9240819946706</v>
      </c>
      <c r="P173" s="281">
        <f t="shared" ca="1" si="25"/>
        <v>123.9240819946706</v>
      </c>
      <c r="Q173" s="10"/>
      <c r="R173" s="283">
        <f t="shared" ca="1" si="31"/>
        <v>1.0738677556559042</v>
      </c>
      <c r="S173" s="283">
        <f t="shared" ca="1" si="32"/>
        <v>1.0738677556559042</v>
      </c>
      <c r="U173" s="281">
        <f t="shared" ca="1" si="26"/>
        <v>127.94976663448485</v>
      </c>
      <c r="V173" s="281">
        <f t="shared" ca="1" si="27"/>
        <v>127.94976663448485</v>
      </c>
      <c r="W173" s="10"/>
      <c r="X173" s="283">
        <f t="shared" ca="1" si="33"/>
        <v>1.089077736772083</v>
      </c>
      <c r="Y173" s="283">
        <f t="shared" ca="1" si="34"/>
        <v>1.089077736772083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126.52959469531471</v>
      </c>
      <c r="D174" s="281">
        <f t="shared" ca="1" si="21"/>
        <v>126.52959469531471</v>
      </c>
      <c r="E174" s="281"/>
      <c r="F174" s="283">
        <f t="shared" ca="1" si="28"/>
        <v>1.0695468255275449</v>
      </c>
      <c r="G174" s="283">
        <f t="shared" ca="1" si="29"/>
        <v>1.0695468255275449</v>
      </c>
      <c r="H174" s="10"/>
      <c r="I174" s="281">
        <f t="shared" ca="1" si="22"/>
        <v>124.63249091512523</v>
      </c>
      <c r="J174" s="281">
        <f t="shared" ca="1" si="23"/>
        <v>124.63249091512523</v>
      </c>
      <c r="K174" s="10"/>
      <c r="L174" s="283">
        <f t="shared" ca="1" si="30"/>
        <v>1.074185378475377</v>
      </c>
      <c r="M174" s="283">
        <f t="shared" ca="1" si="30"/>
        <v>1.074185378475377</v>
      </c>
      <c r="N174" s="10"/>
      <c r="O174" s="281">
        <f t="shared" ca="1" si="24"/>
        <v>126.67694316641909</v>
      </c>
      <c r="P174" s="281">
        <f t="shared" ca="1" si="25"/>
        <v>126.67694316641909</v>
      </c>
      <c r="Q174" s="10"/>
      <c r="R174" s="283">
        <f t="shared" ca="1" si="31"/>
        <v>1.0625807357715078</v>
      </c>
      <c r="S174" s="283">
        <f t="shared" ca="1" si="32"/>
        <v>1.0625807357715078</v>
      </c>
      <c r="U174" s="281">
        <f t="shared" ca="1" si="26"/>
        <v>129.00985767851054</v>
      </c>
      <c r="V174" s="281">
        <f t="shared" ca="1" si="27"/>
        <v>129.00985767851054</v>
      </c>
      <c r="W174" s="10"/>
      <c r="X174" s="283">
        <f t="shared" ca="1" si="33"/>
        <v>1.0929713463724298</v>
      </c>
      <c r="Y174" s="283">
        <f t="shared" ca="1" si="34"/>
        <v>1.0929713463724298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123.03063866882034</v>
      </c>
      <c r="D175" s="281">
        <f t="shared" ca="1" si="21"/>
        <v>123.03063866882034</v>
      </c>
      <c r="E175" s="281"/>
      <c r="F175" s="283">
        <f t="shared" ca="1" si="28"/>
        <v>1.078201362594102</v>
      </c>
      <c r="G175" s="283">
        <f t="shared" ca="1" si="29"/>
        <v>1.078201362594102</v>
      </c>
      <c r="H175" s="10"/>
      <c r="I175" s="281">
        <f t="shared" ca="1" si="22"/>
        <v>127.85148797899774</v>
      </c>
      <c r="J175" s="281">
        <f t="shared" ca="1" si="23"/>
        <v>127.85148797899774</v>
      </c>
      <c r="K175" s="10"/>
      <c r="L175" s="283">
        <f t="shared" ca="1" si="30"/>
        <v>1.0607931928045515</v>
      </c>
      <c r="M175" s="283">
        <f t="shared" ca="1" si="30"/>
        <v>1.0607931928045515</v>
      </c>
      <c r="N175" s="10"/>
      <c r="O175" s="281">
        <f t="shared" ca="1" si="24"/>
        <v>125.96616974760786</v>
      </c>
      <c r="P175" s="281">
        <f t="shared" ca="1" si="25"/>
        <v>125.96616974760786</v>
      </c>
      <c r="Q175" s="10"/>
      <c r="R175" s="283">
        <f t="shared" ca="1" si="31"/>
        <v>1.0551493558799869</v>
      </c>
      <c r="S175" s="283">
        <f t="shared" ca="1" si="32"/>
        <v>1.0551493558799869</v>
      </c>
      <c r="U175" s="281">
        <f t="shared" ca="1" si="26"/>
        <v>129.92617341924168</v>
      </c>
      <c r="V175" s="281">
        <f t="shared" ca="1" si="27"/>
        <v>129.92617341924168</v>
      </c>
      <c r="W175" s="10"/>
      <c r="X175" s="283">
        <f t="shared" ca="1" si="33"/>
        <v>1.0905107613426457</v>
      </c>
      <c r="Y175" s="283">
        <f t="shared" ca="1" si="34"/>
        <v>1.0905107613426457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133.99423057285816</v>
      </c>
      <c r="D176" s="281">
        <f t="shared" ca="1" si="21"/>
        <v>133.99423057285816</v>
      </c>
      <c r="E176" s="281"/>
      <c r="F176" s="283">
        <f t="shared" ca="1" si="28"/>
        <v>1.0373967828030779</v>
      </c>
      <c r="G176" s="283">
        <f t="shared" ca="1" si="29"/>
        <v>1.0373967828030779</v>
      </c>
      <c r="H176" s="10"/>
      <c r="I176" s="281">
        <f t="shared" ca="1" si="22"/>
        <v>128.77473881459727</v>
      </c>
      <c r="J176" s="281">
        <f t="shared" ca="1" si="23"/>
        <v>128.77473881459727</v>
      </c>
      <c r="K176" s="10"/>
      <c r="L176" s="283">
        <f t="shared" ca="1" si="30"/>
        <v>1.0476316817749278</v>
      </c>
      <c r="M176" s="283">
        <f t="shared" ca="1" si="30"/>
        <v>1.0476316817749278</v>
      </c>
      <c r="N176" s="10"/>
      <c r="O176" s="281">
        <f t="shared" ca="1" si="24"/>
        <v>131.05151867310096</v>
      </c>
      <c r="P176" s="281">
        <f t="shared" ca="1" si="25"/>
        <v>131.05151867310096</v>
      </c>
      <c r="Q176" s="10"/>
      <c r="R176" s="283">
        <f t="shared" ca="1" si="31"/>
        <v>1.0771856970800782</v>
      </c>
      <c r="S176" s="283">
        <f t="shared" ca="1" si="32"/>
        <v>1.0771856970800782</v>
      </c>
      <c r="U176" s="281">
        <f t="shared" ca="1" si="26"/>
        <v>130.1183533442873</v>
      </c>
      <c r="V176" s="281">
        <f t="shared" ca="1" si="27"/>
        <v>130.1183533442873</v>
      </c>
      <c r="W176" s="10"/>
      <c r="X176" s="283">
        <f t="shared" ca="1" si="33"/>
        <v>1.083625544666234</v>
      </c>
      <c r="Y176" s="283">
        <f t="shared" ca="1" si="34"/>
        <v>1.083625544666234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129.29934720211332</v>
      </c>
      <c r="D177" s="281">
        <f t="shared" ca="1" si="21"/>
        <v>129.29934720211332</v>
      </c>
      <c r="E177" s="281"/>
      <c r="F177" s="283">
        <f t="shared" ca="1" si="28"/>
        <v>1.0303691744087005</v>
      </c>
      <c r="G177" s="283">
        <f t="shared" ca="1" si="29"/>
        <v>1.0303691744087005</v>
      </c>
      <c r="H177" s="10"/>
      <c r="I177" s="281">
        <f t="shared" ca="1" si="22"/>
        <v>137.47054643107666</v>
      </c>
      <c r="J177" s="281">
        <f t="shared" ca="1" si="23"/>
        <v>137.47054643107666</v>
      </c>
      <c r="K177" s="10"/>
      <c r="L177" s="283">
        <f t="shared" ca="1" si="30"/>
        <v>1.079920345364547</v>
      </c>
      <c r="M177" s="283">
        <f t="shared" ca="1" si="30"/>
        <v>1.079920345364547</v>
      </c>
      <c r="N177" s="10"/>
      <c r="O177" s="281">
        <f t="shared" ca="1" si="24"/>
        <v>134.25441945718367</v>
      </c>
      <c r="P177" s="281">
        <f t="shared" ca="1" si="25"/>
        <v>134.25441945718367</v>
      </c>
      <c r="Q177" s="10"/>
      <c r="R177" s="283">
        <f t="shared" ca="1" si="31"/>
        <v>1.0976953568132575</v>
      </c>
      <c r="S177" s="283">
        <f t="shared" ca="1" si="32"/>
        <v>1.0976953568132575</v>
      </c>
      <c r="U177" s="281">
        <f t="shared" ca="1" si="26"/>
        <v>130.63635431588878</v>
      </c>
      <c r="V177" s="281">
        <f t="shared" ca="1" si="27"/>
        <v>130.63635431588878</v>
      </c>
      <c r="W177" s="10"/>
      <c r="X177" s="283">
        <f t="shared" ca="1" si="33"/>
        <v>1.0811329077443494</v>
      </c>
      <c r="Y177" s="283">
        <f t="shared" ca="1" si="34"/>
        <v>1.0811329077443494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149.11806151825849</v>
      </c>
      <c r="D178" s="281">
        <f t="shared" ca="1" si="21"/>
        <v>149.11806151825849</v>
      </c>
      <c r="E178" s="281"/>
      <c r="F178" s="283">
        <f t="shared" ca="1" si="28"/>
        <v>1.1719569893298103</v>
      </c>
      <c r="G178" s="283">
        <f t="shared" ca="1" si="29"/>
        <v>1.1719569893298103</v>
      </c>
      <c r="H178" s="10"/>
      <c r="I178" s="281">
        <f t="shared" ca="1" si="22"/>
        <v>140.65735093536958</v>
      </c>
      <c r="J178" s="281">
        <f t="shared" ca="1" si="23"/>
        <v>140.65735093536958</v>
      </c>
      <c r="K178" s="10"/>
      <c r="L178" s="283">
        <f t="shared" ca="1" si="30"/>
        <v>1.1335380441778162</v>
      </c>
      <c r="M178" s="283">
        <f t="shared" ca="1" si="30"/>
        <v>1.1335380441778162</v>
      </c>
      <c r="N178" s="10"/>
      <c r="O178" s="281">
        <f t="shared" ca="1" si="24"/>
        <v>135.2651104859097</v>
      </c>
      <c r="P178" s="281">
        <f t="shared" ca="1" si="25"/>
        <v>135.2651104859097</v>
      </c>
      <c r="Q178" s="10"/>
      <c r="R178" s="283">
        <f t="shared" ca="1" si="31"/>
        <v>1.1035970317620181</v>
      </c>
      <c r="S178" s="283">
        <f t="shared" ca="1" si="32"/>
        <v>1.1035970317620181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143.55464408573698</v>
      </c>
      <c r="D179" s="281">
        <f t="shared" ca="1" si="21"/>
        <v>143.55464408573698</v>
      </c>
      <c r="E179" s="281"/>
      <c r="F179" s="283">
        <f t="shared" ca="1" si="28"/>
        <v>1.2009507713496668</v>
      </c>
      <c r="G179" s="283">
        <f t="shared" ca="1" si="29"/>
        <v>1.2009507713496668</v>
      </c>
      <c r="H179" s="10"/>
      <c r="I179" s="281">
        <f t="shared" ca="1" si="22"/>
        <v>141.75548215722213</v>
      </c>
      <c r="J179" s="281">
        <f t="shared" ca="1" si="23"/>
        <v>141.75548215722213</v>
      </c>
      <c r="K179" s="10"/>
      <c r="L179" s="283">
        <f t="shared" ca="1" si="30"/>
        <v>1.1598851054262389</v>
      </c>
      <c r="M179" s="283">
        <f t="shared" ca="1" si="30"/>
        <v>1.1598851054262389</v>
      </c>
      <c r="N179" s="10"/>
      <c r="O179" s="281">
        <f t="shared" ca="1" si="24"/>
        <v>135.92826484381277</v>
      </c>
      <c r="P179" s="281">
        <f t="shared" ca="1" si="25"/>
        <v>135.92826484381277</v>
      </c>
      <c r="Q179" s="10"/>
      <c r="R179" s="283">
        <f t="shared" ca="1" si="31"/>
        <v>1.1061399697476775</v>
      </c>
      <c r="S179" s="283">
        <f t="shared" ca="1" si="32"/>
        <v>1.1061399697476775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132.5937408676709</v>
      </c>
      <c r="D180" s="281">
        <f t="shared" ca="1" si="21"/>
        <v>132.5937408676709</v>
      </c>
      <c r="E180" s="281"/>
      <c r="F180" s="283">
        <f t="shared" ca="1" si="28"/>
        <v>1.106121727554517</v>
      </c>
      <c r="G180" s="283">
        <f t="shared" ca="1" si="29"/>
        <v>1.106121727554517</v>
      </c>
      <c r="H180" s="10"/>
      <c r="I180" s="281">
        <f t="shared" ca="1" si="22"/>
        <v>134.38598325654885</v>
      </c>
      <c r="J180" s="281">
        <f t="shared" ca="1" si="23"/>
        <v>134.38598325654885</v>
      </c>
      <c r="K180" s="10"/>
      <c r="L180" s="283">
        <f t="shared" ca="1" si="30"/>
        <v>1.1343123198817751</v>
      </c>
      <c r="M180" s="283">
        <f t="shared" ca="1" si="30"/>
        <v>1.1343123198817751</v>
      </c>
      <c r="N180" s="10"/>
      <c r="O180" s="281">
        <f t="shared" ca="1" si="24"/>
        <v>133.55976352215552</v>
      </c>
      <c r="P180" s="281">
        <f t="shared" ca="1" si="25"/>
        <v>133.55976352215552</v>
      </c>
      <c r="Q180" s="10"/>
      <c r="R180" s="283">
        <f t="shared" ca="1" si="31"/>
        <v>1.1043708541560449</v>
      </c>
      <c r="S180" s="283">
        <f t="shared" ca="1" si="32"/>
        <v>1.1043708541560449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127.00956481623867</v>
      </c>
      <c r="D181" s="281">
        <f t="shared" ca="1" si="21"/>
        <v>127.00956481623867</v>
      </c>
      <c r="E181" s="281"/>
      <c r="F181" s="283">
        <f t="shared" ca="1" si="28"/>
        <v>1.094780027637825</v>
      </c>
      <c r="G181" s="283">
        <f t="shared" ca="1" si="29"/>
        <v>1.094780027637825</v>
      </c>
      <c r="H181" s="10"/>
      <c r="I181" s="281">
        <f t="shared" ca="1" si="22"/>
        <v>126.46217610894145</v>
      </c>
      <c r="J181" s="281">
        <f t="shared" ca="1" si="23"/>
        <v>126.46217610894145</v>
      </c>
      <c r="K181" s="10"/>
      <c r="L181" s="283">
        <f t="shared" ca="1" si="30"/>
        <v>1.0736438296977675</v>
      </c>
      <c r="M181" s="283">
        <f t="shared" ca="1" si="30"/>
        <v>1.0736438296977675</v>
      </c>
      <c r="N181" s="10"/>
      <c r="O181" s="281">
        <f t="shared" ca="1" si="24"/>
        <v>135.30653888416967</v>
      </c>
      <c r="P181" s="281">
        <f t="shared" ca="1" si="25"/>
        <v>135.30653888416967</v>
      </c>
      <c r="Q181" s="10"/>
      <c r="R181" s="283">
        <f t="shared" ca="1" si="31"/>
        <v>1.1065000267871945</v>
      </c>
      <c r="S181" s="283">
        <f t="shared" ca="1" si="32"/>
        <v>1.1065000267871945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119.78322264291478</v>
      </c>
      <c r="D182" s="281">
        <f t="shared" ca="1" si="21"/>
        <v>119.78322264291478</v>
      </c>
      <c r="E182" s="281"/>
      <c r="F182" s="283">
        <f t="shared" ca="1" si="28"/>
        <v>1.0196307179547086</v>
      </c>
      <c r="G182" s="283">
        <f t="shared" ca="1" si="29"/>
        <v>1.0196307179547086</v>
      </c>
      <c r="H182" s="10"/>
      <c r="I182" s="281">
        <f t="shared" ca="1" si="22"/>
        <v>128.8575956111172</v>
      </c>
      <c r="J182" s="281">
        <f t="shared" ca="1" si="23"/>
        <v>128.8575956111172</v>
      </c>
      <c r="K182" s="10"/>
      <c r="L182" s="283">
        <f t="shared" ca="1" si="30"/>
        <v>1.053174507465914</v>
      </c>
      <c r="M182" s="283">
        <f t="shared" ca="1" si="30"/>
        <v>1.053174507465914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139.77999937419818</v>
      </c>
      <c r="D183" s="281">
        <f t="shared" ca="1" si="21"/>
        <v>139.77999937419818</v>
      </c>
      <c r="E183" s="281"/>
      <c r="F183" s="283">
        <f t="shared" ca="1" si="28"/>
        <v>1.0465395782617855</v>
      </c>
      <c r="G183" s="283">
        <f t="shared" ca="1" si="29"/>
        <v>1.0465395782617855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1.0856146229565733</v>
      </c>
      <c r="G185" s="15">
        <f ca="1">AVERAGE(G160:G183)</f>
        <v>1.0856146229565733</v>
      </c>
      <c r="H185" s="15"/>
      <c r="I185" s="15"/>
      <c r="J185" s="15"/>
      <c r="K185" s="15"/>
      <c r="L185" s="15">
        <f ca="1">AVERAGE(L161:L182)</f>
        <v>1.0850057861158926</v>
      </c>
      <c r="M185" s="15">
        <f ca="1">AVERAGE(M161:M182)</f>
        <v>1.0850057861158926</v>
      </c>
      <c r="N185" s="15"/>
      <c r="O185" s="15"/>
      <c r="P185" s="15"/>
      <c r="Q185" s="15"/>
      <c r="R185" s="287">
        <f ca="1">AVERAGE(R163:R181)</f>
        <v>1.0828315429111894</v>
      </c>
      <c r="S185" s="15">
        <f ca="1">AVERAGE(S163:S181)</f>
        <v>1.0828315429111894</v>
      </c>
      <c r="U185" s="15"/>
      <c r="V185" s="15"/>
      <c r="W185" s="15"/>
      <c r="X185" s="287">
        <f ca="1">AVERAGE(X165:X177)</f>
        <v>1.0798135309179866</v>
      </c>
      <c r="Y185" s="287">
        <f ca="1">AVERAGE(Y165:Y177)</f>
        <v>1.0798135309179866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1.079302864740874</v>
      </c>
      <c r="G186" s="287">
        <f ca="1">AVERAGE(G166:G183)</f>
        <v>1.079302864740874</v>
      </c>
      <c r="H186" s="7"/>
      <c r="I186" s="287"/>
      <c r="J186" s="287"/>
      <c r="K186" s="7"/>
      <c r="L186" s="287">
        <f ca="1">AVERAGE(L165:L182)</f>
        <v>1.0815061183552259</v>
      </c>
      <c r="M186" s="287">
        <f ca="1">AVERAGE(M165:M182)</f>
        <v>1.0815061183552259</v>
      </c>
      <c r="N186" s="7"/>
      <c r="O186" s="7"/>
      <c r="P186" s="7"/>
      <c r="Q186" s="7"/>
      <c r="R186" s="283">
        <f ca="1">AVERAGE(R164:R181)</f>
        <v>1.0816988824194054</v>
      </c>
      <c r="S186" s="287">
        <f ca="1">AVERAGE(S164:S181)</f>
        <v>1.0816988824194054</v>
      </c>
      <c r="U186" s="7"/>
      <c r="V186" s="7"/>
      <c r="W186" s="7"/>
      <c r="X186" s="283">
        <f ca="1">+X185</f>
        <v>1.0798135309179866</v>
      </c>
      <c r="Y186" s="283">
        <f ca="1">+Y185</f>
        <v>1.0798135309179866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1.0812365772731487</v>
      </c>
      <c r="G187" s="283">
        <f ca="1">AVERAGE(G172:G183)</f>
        <v>1.0812365772731487</v>
      </c>
      <c r="H187" s="10"/>
      <c r="I187" s="283"/>
      <c r="J187" s="283"/>
      <c r="K187" s="10"/>
      <c r="L187" s="283">
        <f ca="1">AVERAGE(L171:L182)</f>
        <v>1.0848470985664165</v>
      </c>
      <c r="M187" s="283">
        <f ca="1">AVERAGE(M171:M182)</f>
        <v>1.0848470985664165</v>
      </c>
      <c r="N187" s="10"/>
      <c r="O187" s="10"/>
      <c r="P187" s="10"/>
      <c r="Q187" s="10"/>
      <c r="R187" s="283">
        <f ca="1">AVERAGE(R170:R181)</f>
        <v>1.0850869588164098</v>
      </c>
      <c r="S187" s="283">
        <f ca="1">AVERAGE(S170:S181)</f>
        <v>1.0850869588164098</v>
      </c>
      <c r="U187" s="10"/>
      <c r="V187" s="10"/>
      <c r="W187" s="10"/>
      <c r="X187" s="283">
        <f ca="1">AVERAGE(X166:X177)</f>
        <v>1.0791176059593195</v>
      </c>
      <c r="Y187" s="283">
        <f ca="1">AVERAGE(Y166:Y177)</f>
        <v>1.0791176059593195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1.1066633020147187</v>
      </c>
      <c r="G188" s="283">
        <f ca="1">AVERAGE(G178:G183)</f>
        <v>1.1066633020147187</v>
      </c>
      <c r="H188" s="10"/>
      <c r="I188" s="10"/>
      <c r="J188" s="10"/>
      <c r="K188" s="10"/>
      <c r="L188" s="283">
        <f ca="1">AVERAGE(L177:L182)</f>
        <v>1.105745692002343</v>
      </c>
      <c r="M188" s="283">
        <f ca="1">AVERAGE(M177:M182)</f>
        <v>1.105745692002343</v>
      </c>
      <c r="N188" s="10"/>
      <c r="O188" s="10"/>
      <c r="P188" s="10"/>
      <c r="Q188" s="10"/>
      <c r="R188" s="283">
        <f ca="1">AVERAGE(R176:R181)</f>
        <v>1.0992481560577116</v>
      </c>
      <c r="S188" s="283">
        <f ca="1">AVERAGE(S176:S181)</f>
        <v>1.0992481560577116</v>
      </c>
      <c r="U188" s="10"/>
      <c r="V188" s="10"/>
      <c r="W188" s="10"/>
      <c r="X188" s="283">
        <f ca="1">AVERAGE(X172:X177)</f>
        <v>1.0853941920059311</v>
      </c>
      <c r="Y188" s="283">
        <f ca="1">AVERAGE(Y172:Y177)</f>
        <v>1.0853941920059311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8.5614622956573294E-2</v>
      </c>
      <c r="G190" s="147">
        <f t="shared" ca="1" si="35"/>
        <v>8.5614622956573294E-2</v>
      </c>
      <c r="H190" s="7"/>
      <c r="I190" s="7"/>
      <c r="J190" s="7"/>
      <c r="K190" s="7"/>
      <c r="L190" s="147">
        <f t="shared" ref="L190:M193" ca="1" si="36">+L185-1</f>
        <v>8.5005786115892601E-2</v>
      </c>
      <c r="M190" s="147">
        <f t="shared" ca="1" si="36"/>
        <v>8.5005786115892601E-2</v>
      </c>
      <c r="N190" s="7"/>
      <c r="O190" s="147"/>
      <c r="P190" s="147"/>
      <c r="Q190" s="7"/>
      <c r="R190" s="147">
        <f t="shared" ref="R190:S193" ca="1" si="37">+R185-1</f>
        <v>8.2831542911189437E-2</v>
      </c>
      <c r="S190" s="147">
        <f t="shared" ca="1" si="37"/>
        <v>8.2831542911189437E-2</v>
      </c>
      <c r="U190" s="147"/>
      <c r="V190" s="147"/>
      <c r="W190" s="7"/>
      <c r="X190" s="147">
        <f t="shared" ref="X190:Y193" ca="1" si="38">+X185-1</f>
        <v>7.9813530917986597E-2</v>
      </c>
      <c r="Y190" s="147">
        <f t="shared" ca="1" si="38"/>
        <v>7.9813530917986597E-2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7.9302864740874002E-2</v>
      </c>
      <c r="G191" s="148">
        <f t="shared" ca="1" si="35"/>
        <v>7.9302864740874002E-2</v>
      </c>
      <c r="H191" s="10"/>
      <c r="I191" s="10"/>
      <c r="J191" s="10"/>
      <c r="K191" s="10"/>
      <c r="L191" s="148">
        <f t="shared" ca="1" si="36"/>
        <v>8.1506118355225921E-2</v>
      </c>
      <c r="M191" s="148">
        <f t="shared" ca="1" si="36"/>
        <v>8.1506118355225921E-2</v>
      </c>
      <c r="N191" s="10"/>
      <c r="O191" s="10"/>
      <c r="P191" s="10"/>
      <c r="Q191" s="10"/>
      <c r="R191" s="148">
        <f t="shared" ca="1" si="37"/>
        <v>8.1698882419405372E-2</v>
      </c>
      <c r="S191" s="148">
        <f t="shared" ca="1" si="37"/>
        <v>8.1698882419405372E-2</v>
      </c>
      <c r="U191" s="10"/>
      <c r="V191" s="10"/>
      <c r="W191" s="10"/>
      <c r="X191" s="148">
        <f t="shared" ca="1" si="38"/>
        <v>7.9813530917986597E-2</v>
      </c>
      <c r="Y191" s="148">
        <f t="shared" ca="1" si="38"/>
        <v>7.9813530917986597E-2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8.1236577273148702E-2</v>
      </c>
      <c r="G192" s="148">
        <f t="shared" ca="1" si="35"/>
        <v>8.1236577273148702E-2</v>
      </c>
      <c r="H192" s="10"/>
      <c r="I192" s="10"/>
      <c r="J192" s="10"/>
      <c r="K192" s="10"/>
      <c r="L192" s="148">
        <f t="shared" ca="1" si="36"/>
        <v>8.4847098566416479E-2</v>
      </c>
      <c r="M192" s="148">
        <f t="shared" ca="1" si="36"/>
        <v>8.4847098566416479E-2</v>
      </c>
      <c r="N192" s="10"/>
      <c r="O192" s="10"/>
      <c r="P192" s="10"/>
      <c r="Q192" s="10"/>
      <c r="R192" s="148">
        <f t="shared" ca="1" si="37"/>
        <v>8.5086958816409819E-2</v>
      </c>
      <c r="S192" s="148">
        <f t="shared" ca="1" si="37"/>
        <v>8.5086958816409819E-2</v>
      </c>
      <c r="U192" s="10"/>
      <c r="V192" s="10"/>
      <c r="W192" s="10"/>
      <c r="X192" s="148">
        <f t="shared" ca="1" si="38"/>
        <v>7.9117605959319492E-2</v>
      </c>
      <c r="Y192" s="148">
        <f t="shared" ca="1" si="38"/>
        <v>7.9117605959319492E-2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0.10666330201471874</v>
      </c>
      <c r="G193" s="148">
        <f t="shared" ca="1" si="35"/>
        <v>0.10666330201471874</v>
      </c>
      <c r="H193" s="10"/>
      <c r="I193" s="10"/>
      <c r="J193" s="10"/>
      <c r="K193" s="10"/>
      <c r="L193" s="148">
        <f t="shared" ca="1" si="36"/>
        <v>0.10574569200234296</v>
      </c>
      <c r="M193" s="148">
        <f t="shared" ca="1" si="36"/>
        <v>0.10574569200234296</v>
      </c>
      <c r="N193" s="10"/>
      <c r="O193" s="10"/>
      <c r="P193" s="10"/>
      <c r="Q193" s="10"/>
      <c r="R193" s="148">
        <f t="shared" ca="1" si="37"/>
        <v>9.9248156057711645E-2</v>
      </c>
      <c r="S193" s="148">
        <f t="shared" ca="1" si="37"/>
        <v>9.9248156057711645E-2</v>
      </c>
      <c r="U193" s="10"/>
      <c r="V193" s="10"/>
      <c r="W193" s="10"/>
      <c r="X193" s="148">
        <f t="shared" ca="1" si="38"/>
        <v>8.5394192005931124E-2</v>
      </c>
      <c r="Y193" s="148">
        <f t="shared" ca="1" si="38"/>
        <v>8.5394192005931124E-2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100.89458698895866</v>
      </c>
      <c r="C199" s="15">
        <f t="shared" ref="C199:C234" si="41">+B148</f>
        <v>1</v>
      </c>
      <c r="D199" s="73">
        <f>+B199*C199</f>
        <v>100.89458698895866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99.675216059479581</v>
      </c>
      <c r="C200" s="15">
        <f t="shared" si="41"/>
        <v>1</v>
      </c>
      <c r="D200" s="73">
        <f t="shared" ref="D200:D234" si="42">+B200*C200</f>
        <v>99.675216059479581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107.90997929051117</v>
      </c>
      <c r="C201" s="15">
        <f t="shared" si="41"/>
        <v>1</v>
      </c>
      <c r="D201" s="73">
        <f t="shared" si="42"/>
        <v>107.90997929051117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102.82659411298313</v>
      </c>
      <c r="J201" s="73">
        <f>IF(SUM($E199:$E201)=3,AVERAGE(D199:D201),"NA")</f>
        <v>102.82659411298313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108.29673471066521</v>
      </c>
      <c r="C202" s="282">
        <f t="shared" si="41"/>
        <v>1</v>
      </c>
      <c r="D202" s="281">
        <f t="shared" si="42"/>
        <v>108.29673471066521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105.29397668688533</v>
      </c>
      <c r="J202" s="281">
        <f>IF(SUM($E200:$E202)=3,AVERAGE(D200:D202),"NA")</f>
        <v>105.29397668688533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114.76950676537243</v>
      </c>
      <c r="C203" s="282">
        <f t="shared" si="41"/>
        <v>1</v>
      </c>
      <c r="D203" s="281">
        <f t="shared" si="42"/>
        <v>114.76950676537243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110.32540692218294</v>
      </c>
      <c r="J203" s="281">
        <f t="shared" ref="J203:J234" si="45">IF(SUM($E201:$E203)=3,AVERAGE(D201:D203),"NA")</f>
        <v>110.32540692218294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117.72995171430985</v>
      </c>
      <c r="C204" s="282">
        <f t="shared" si="41"/>
        <v>1</v>
      </c>
      <c r="D204" s="281">
        <f t="shared" si="42"/>
        <v>117.72995171430985</v>
      </c>
      <c r="E204" s="10">
        <f t="shared" si="43"/>
        <v>1</v>
      </c>
      <c r="F204" s="283"/>
      <c r="G204" s="283"/>
      <c r="H204" s="10"/>
      <c r="I204" s="281">
        <f t="shared" si="44"/>
        <v>113.59873106344916</v>
      </c>
      <c r="J204" s="281">
        <f t="shared" si="45"/>
        <v>113.59873106344916</v>
      </c>
      <c r="K204" s="10"/>
      <c r="L204" s="10"/>
      <c r="M204" s="10"/>
      <c r="N204" s="10"/>
      <c r="O204" s="281">
        <f>IF(SUM($E199:$E204)=6,AVERAGE(B199:B204),"NA")</f>
        <v>108.21266258821616</v>
      </c>
      <c r="P204" s="281">
        <f>IF(SUM($E199:$E204)=6,AVERAGE(D199:D204),"NA")</f>
        <v>108.21266258821616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120.89931746925885</v>
      </c>
      <c r="C205" s="282">
        <f t="shared" si="41"/>
        <v>1</v>
      </c>
      <c r="D205" s="281">
        <f t="shared" si="42"/>
        <v>120.89931746925885</v>
      </c>
      <c r="E205" s="10">
        <f t="shared" si="43"/>
        <v>1</v>
      </c>
      <c r="F205" s="283"/>
      <c r="G205" s="283"/>
      <c r="H205" s="10"/>
      <c r="I205" s="281">
        <f t="shared" si="44"/>
        <v>117.79959198298037</v>
      </c>
      <c r="J205" s="281">
        <f t="shared" si="45"/>
        <v>117.79959198298037</v>
      </c>
      <c r="K205" s="10"/>
      <c r="L205" s="10"/>
      <c r="M205" s="10"/>
      <c r="N205" s="10"/>
      <c r="O205" s="281">
        <f t="shared" ref="O205:O234" si="46">IF(SUM($E200:$E205)=6,AVERAGE(B200:B205),"NA")</f>
        <v>111.54678433493287</v>
      </c>
      <c r="P205" s="281">
        <f t="shared" ref="P205:P234" si="47">IF(SUM($E200:$E205)=6,AVERAGE(D200:D205),"NA")</f>
        <v>111.54678433493287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115.59056958502657</v>
      </c>
      <c r="C206" s="282">
        <f t="shared" si="41"/>
        <v>1</v>
      </c>
      <c r="D206" s="281">
        <f t="shared" si="42"/>
        <v>115.59056958502657</v>
      </c>
      <c r="E206" s="10">
        <f t="shared" si="43"/>
        <v>1</v>
      </c>
      <c r="F206" s="283"/>
      <c r="G206" s="283"/>
      <c r="H206" s="10"/>
      <c r="I206" s="281">
        <f t="shared" si="44"/>
        <v>118.07327958953175</v>
      </c>
      <c r="J206" s="281">
        <f t="shared" si="45"/>
        <v>118.07327958953175</v>
      </c>
      <c r="K206" s="10"/>
      <c r="L206" s="10"/>
      <c r="M206" s="10"/>
      <c r="N206" s="10"/>
      <c r="O206" s="281">
        <f t="shared" si="46"/>
        <v>114.19934325585734</v>
      </c>
      <c r="P206" s="281">
        <f t="shared" si="47"/>
        <v>114.19934325585734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113.25598207637394</v>
      </c>
      <c r="C207" s="282">
        <f t="shared" si="41"/>
        <v>1</v>
      </c>
      <c r="D207" s="281">
        <f t="shared" si="42"/>
        <v>113.25598207637394</v>
      </c>
      <c r="E207" s="10">
        <f t="shared" si="43"/>
        <v>1</v>
      </c>
      <c r="F207" s="283"/>
      <c r="G207" s="283"/>
      <c r="H207" s="10"/>
      <c r="I207" s="281">
        <f t="shared" si="44"/>
        <v>116.58195637688645</v>
      </c>
      <c r="J207" s="281">
        <f t="shared" si="45"/>
        <v>116.58195637688645</v>
      </c>
      <c r="K207" s="10"/>
      <c r="L207" s="10"/>
      <c r="M207" s="10"/>
      <c r="N207" s="10"/>
      <c r="O207" s="281">
        <f t="shared" si="46"/>
        <v>115.09034372016781</v>
      </c>
      <c r="P207" s="281">
        <f t="shared" si="47"/>
        <v>115.09034372016781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102.7346430156375</v>
      </c>
      <c r="C208" s="282">
        <f t="shared" si="41"/>
        <v>1</v>
      </c>
      <c r="D208" s="281">
        <f t="shared" si="42"/>
        <v>102.7346430156375</v>
      </c>
      <c r="E208" s="10">
        <f t="shared" si="43"/>
        <v>1</v>
      </c>
      <c r="F208" s="283"/>
      <c r="G208" s="283"/>
      <c r="H208" s="10"/>
      <c r="I208" s="281">
        <f t="shared" si="44"/>
        <v>110.527064892346</v>
      </c>
      <c r="J208" s="281">
        <f t="shared" si="45"/>
        <v>110.527064892346</v>
      </c>
      <c r="K208" s="10"/>
      <c r="L208" s="10"/>
      <c r="M208" s="10"/>
      <c r="N208" s="10"/>
      <c r="O208" s="281">
        <f t="shared" si="46"/>
        <v>114.1633284376632</v>
      </c>
      <c r="P208" s="281">
        <f t="shared" si="47"/>
        <v>114.1633284376632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106.26468310460019</v>
      </c>
      <c r="C209" s="282">
        <f t="shared" si="41"/>
        <v>1</v>
      </c>
      <c r="D209" s="281">
        <f t="shared" si="42"/>
        <v>106.26468310460019</v>
      </c>
      <c r="E209" s="10">
        <f t="shared" si="43"/>
        <v>1</v>
      </c>
      <c r="F209" s="283"/>
      <c r="G209" s="283"/>
      <c r="H209" s="10"/>
      <c r="I209" s="281">
        <f t="shared" si="44"/>
        <v>107.41843606553721</v>
      </c>
      <c r="J209" s="281">
        <f t="shared" si="45"/>
        <v>107.41843606553721</v>
      </c>
      <c r="K209" s="10"/>
      <c r="L209" s="10"/>
      <c r="M209" s="10"/>
      <c r="N209" s="10"/>
      <c r="O209" s="281">
        <f t="shared" si="46"/>
        <v>112.74585782753446</v>
      </c>
      <c r="P209" s="281">
        <f t="shared" si="47"/>
        <v>112.74585782753446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124.49229284762997</v>
      </c>
      <c r="C210" s="282">
        <f t="shared" si="41"/>
        <v>1</v>
      </c>
      <c r="D210" s="281">
        <f t="shared" si="42"/>
        <v>124.49229284762997</v>
      </c>
      <c r="E210" s="10">
        <f t="shared" si="43"/>
        <v>1</v>
      </c>
      <c r="F210" s="283"/>
      <c r="G210" s="283"/>
      <c r="H210" s="10"/>
      <c r="I210" s="281">
        <f t="shared" si="44"/>
        <v>111.16387298928923</v>
      </c>
      <c r="J210" s="281">
        <f t="shared" si="45"/>
        <v>111.16387298928923</v>
      </c>
      <c r="K210" s="10"/>
      <c r="L210" s="10"/>
      <c r="M210" s="10"/>
      <c r="N210" s="10"/>
      <c r="O210" s="281">
        <f t="shared" si="46"/>
        <v>113.87291468308784</v>
      </c>
      <c r="P210" s="281">
        <f t="shared" si="47"/>
        <v>113.87291468308784</v>
      </c>
      <c r="Q210" s="10"/>
      <c r="R210" s="10"/>
      <c r="S210" s="10"/>
      <c r="T210" s="10"/>
      <c r="U210" s="281">
        <f t="shared" ref="U210:U233" si="48">IF(SUM($E199:$E210)=12,AVERAGE(B199:B210),"NA")</f>
        <v>111.04278863565197</v>
      </c>
      <c r="V210" s="281">
        <f t="shared" ref="V210:V233" si="49">IF(SUM($E199:$E210)=12,AVERAGE(D199:D210),"NA")</f>
        <v>111.04278863565197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113.56621836616137</v>
      </c>
      <c r="C211" s="282">
        <f t="shared" si="41"/>
        <v>1</v>
      </c>
      <c r="D211" s="281">
        <f t="shared" si="42"/>
        <v>113.56621836616137</v>
      </c>
      <c r="E211" s="10">
        <f t="shared" si="43"/>
        <v>1</v>
      </c>
      <c r="F211" s="283">
        <f>IF(B199=0,"NA",+B211/B199)</f>
        <v>1.1255927771287613</v>
      </c>
      <c r="G211" s="283">
        <f>IF(D199=0,"NA",+D211/D199)</f>
        <v>1.1255927771287613</v>
      </c>
      <c r="H211" s="10"/>
      <c r="I211" s="281">
        <f t="shared" si="44"/>
        <v>114.7743981061305</v>
      </c>
      <c r="J211" s="281">
        <f t="shared" si="45"/>
        <v>114.7743981061305</v>
      </c>
      <c r="K211" s="10"/>
      <c r="L211" s="10" t="s">
        <v>643</v>
      </c>
      <c r="M211" s="10"/>
      <c r="N211" s="10"/>
      <c r="O211" s="281">
        <f t="shared" si="46"/>
        <v>112.65073149923825</v>
      </c>
      <c r="P211" s="281">
        <f t="shared" si="47"/>
        <v>112.65073149923825</v>
      </c>
      <c r="Q211" s="10"/>
      <c r="R211" s="10"/>
      <c r="S211" s="10"/>
      <c r="T211" s="10"/>
      <c r="U211" s="281">
        <f t="shared" si="48"/>
        <v>112.09875791708555</v>
      </c>
      <c r="V211" s="281">
        <f t="shared" si="49"/>
        <v>112.09875791708555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115.66601498146562</v>
      </c>
      <c r="C212" s="282">
        <f t="shared" si="41"/>
        <v>1</v>
      </c>
      <c r="D212" s="281">
        <f t="shared" si="42"/>
        <v>115.66601498146562</v>
      </c>
      <c r="E212" s="10">
        <f t="shared" si="43"/>
        <v>1</v>
      </c>
      <c r="F212" s="283">
        <f t="shared" ref="F212:F234" si="50">IF(B200=0,"NA",+B212/B200)</f>
        <v>1.1604290369678636</v>
      </c>
      <c r="G212" s="283">
        <f t="shared" ref="G212:G234" si="51">IF(D200=0,"NA",+D212/D200)</f>
        <v>1.1604290369678636</v>
      </c>
      <c r="H212" s="10"/>
      <c r="I212" s="281">
        <f t="shared" si="44"/>
        <v>117.908175398419</v>
      </c>
      <c r="J212" s="281">
        <f t="shared" si="45"/>
        <v>117.908175398419</v>
      </c>
      <c r="K212" s="10"/>
      <c r="L212" s="10"/>
      <c r="M212" s="10"/>
      <c r="N212" s="10"/>
      <c r="O212" s="281">
        <f t="shared" si="46"/>
        <v>112.6633057319781</v>
      </c>
      <c r="P212" s="281">
        <f t="shared" si="47"/>
        <v>112.6633057319781</v>
      </c>
      <c r="Q212" s="10"/>
      <c r="R212" s="10"/>
      <c r="S212" s="10"/>
      <c r="T212" s="10"/>
      <c r="U212" s="281">
        <f t="shared" si="48"/>
        <v>113.43132449391771</v>
      </c>
      <c r="V212" s="281">
        <f t="shared" si="49"/>
        <v>113.43132449391771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118.30206184091573</v>
      </c>
      <c r="C213" s="282">
        <f t="shared" si="41"/>
        <v>1</v>
      </c>
      <c r="D213" s="281">
        <f t="shared" si="42"/>
        <v>118.30206184091573</v>
      </c>
      <c r="E213" s="10">
        <f t="shared" si="43"/>
        <v>1</v>
      </c>
      <c r="F213" s="283">
        <f t="shared" si="50"/>
        <v>1.0963032577592049</v>
      </c>
      <c r="G213" s="283">
        <f t="shared" si="51"/>
        <v>1.0963032577592049</v>
      </c>
      <c r="H213" s="10"/>
      <c r="I213" s="281">
        <f t="shared" si="44"/>
        <v>115.84476506284757</v>
      </c>
      <c r="J213" s="281">
        <f t="shared" si="45"/>
        <v>115.84476506284757</v>
      </c>
      <c r="K213" s="10"/>
      <c r="L213" s="283">
        <f>IF(I201="NA","NA",+I213/I201)</f>
        <v>1.1266031522502868</v>
      </c>
      <c r="M213" s="283">
        <f>IF(J201="NA","NA",+J213/J201)</f>
        <v>1.1266031522502868</v>
      </c>
      <c r="N213" s="10"/>
      <c r="O213" s="281">
        <f t="shared" si="46"/>
        <v>113.5043190260684</v>
      </c>
      <c r="P213" s="281">
        <f t="shared" si="47"/>
        <v>113.5043190260684</v>
      </c>
      <c r="Q213" s="10"/>
      <c r="R213" s="10"/>
      <c r="S213" s="10"/>
      <c r="T213" s="10"/>
      <c r="U213" s="281">
        <f t="shared" si="48"/>
        <v>114.2973313731181</v>
      </c>
      <c r="V213" s="281">
        <f t="shared" si="49"/>
        <v>114.2973313731181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114.10729288341315</v>
      </c>
      <c r="C214" s="282">
        <f t="shared" si="41"/>
        <v>1</v>
      </c>
      <c r="D214" s="281">
        <f t="shared" si="42"/>
        <v>114.10729288341315</v>
      </c>
      <c r="E214" s="10">
        <f t="shared" si="43"/>
        <v>1</v>
      </c>
      <c r="F214" s="283">
        <f t="shared" si="50"/>
        <v>1.0536540477261105</v>
      </c>
      <c r="G214" s="283">
        <f t="shared" si="51"/>
        <v>1.0536540477261105</v>
      </c>
      <c r="H214" s="10"/>
      <c r="I214" s="281">
        <f t="shared" si="44"/>
        <v>116.02512323526484</v>
      </c>
      <c r="J214" s="281">
        <f t="shared" si="45"/>
        <v>116.02512323526484</v>
      </c>
      <c r="K214" s="10"/>
      <c r="L214" s="283">
        <f t="shared" ref="L214:L222" si="52">IF(I202="NA","NA",+I214/I202)</f>
        <v>1.1019160533777819</v>
      </c>
      <c r="M214" s="283">
        <f t="shared" ref="M214:M222" si="53">IF(J202="NA","NA",+J214/J202)</f>
        <v>1.1019160533777819</v>
      </c>
      <c r="N214" s="10"/>
      <c r="O214" s="281">
        <f t="shared" si="46"/>
        <v>115.39976067069767</v>
      </c>
      <c r="P214" s="281">
        <f t="shared" si="47"/>
        <v>115.39976067069767</v>
      </c>
      <c r="Q214" s="10"/>
      <c r="R214" s="117" t="s">
        <v>642</v>
      </c>
      <c r="S214" s="10"/>
      <c r="T214" s="10"/>
      <c r="U214" s="281">
        <f t="shared" si="48"/>
        <v>114.78154455418041</v>
      </c>
      <c r="V214" s="281">
        <f t="shared" si="49"/>
        <v>114.78154455418041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129.16391567246009</v>
      </c>
      <c r="C215" s="282">
        <f t="shared" si="41"/>
        <v>1</v>
      </c>
      <c r="D215" s="281">
        <f t="shared" si="42"/>
        <v>129.16391567246009</v>
      </c>
      <c r="E215" s="10">
        <f t="shared" si="43"/>
        <v>1</v>
      </c>
      <c r="F215" s="283">
        <f t="shared" si="50"/>
        <v>1.1254201513344018</v>
      </c>
      <c r="G215" s="283">
        <f t="shared" si="51"/>
        <v>1.1254201513344018</v>
      </c>
      <c r="H215" s="10"/>
      <c r="I215" s="281">
        <f t="shared" si="44"/>
        <v>120.52442346559633</v>
      </c>
      <c r="J215" s="281">
        <f t="shared" si="45"/>
        <v>120.52442346559633</v>
      </c>
      <c r="K215" s="10"/>
      <c r="L215" s="283">
        <f t="shared" si="52"/>
        <v>1.0924448576981654</v>
      </c>
      <c r="M215" s="283">
        <f t="shared" si="53"/>
        <v>1.0924448576981654</v>
      </c>
      <c r="N215" s="10"/>
      <c r="O215" s="281">
        <f t="shared" si="46"/>
        <v>119.21629943200766</v>
      </c>
      <c r="P215" s="281">
        <f t="shared" si="47"/>
        <v>119.21629943200766</v>
      </c>
      <c r="Q215" s="10"/>
      <c r="R215" s="10"/>
      <c r="S215" s="10"/>
      <c r="T215" s="10"/>
      <c r="U215" s="281">
        <f t="shared" si="48"/>
        <v>115.98107862977106</v>
      </c>
      <c r="V215" s="281">
        <f t="shared" si="49"/>
        <v>115.98107862977106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125.48836903657812</v>
      </c>
      <c r="C216" s="282">
        <f t="shared" si="41"/>
        <v>1</v>
      </c>
      <c r="D216" s="281">
        <f t="shared" si="42"/>
        <v>125.48836903657812</v>
      </c>
      <c r="E216" s="10">
        <f t="shared" si="43"/>
        <v>1</v>
      </c>
      <c r="F216" s="283">
        <f t="shared" si="50"/>
        <v>1.0659001147056892</v>
      </c>
      <c r="G216" s="283">
        <f t="shared" si="51"/>
        <v>1.0659001147056892</v>
      </c>
      <c r="H216" s="10"/>
      <c r="I216" s="281">
        <f t="shared" si="44"/>
        <v>122.91985919748379</v>
      </c>
      <c r="J216" s="281">
        <f t="shared" si="45"/>
        <v>122.91985919748379</v>
      </c>
      <c r="K216" s="10"/>
      <c r="L216" s="283">
        <f t="shared" si="52"/>
        <v>1.082053100829343</v>
      </c>
      <c r="M216" s="283">
        <f t="shared" si="53"/>
        <v>1.082053100829343</v>
      </c>
      <c r="N216" s="10"/>
      <c r="O216" s="281">
        <f t="shared" si="46"/>
        <v>119.38231213016569</v>
      </c>
      <c r="P216" s="281">
        <f t="shared" si="47"/>
        <v>119.38231213016569</v>
      </c>
      <c r="Q216" s="10"/>
      <c r="R216" s="283">
        <f>IF(O204="NA","NA",+O216/O204)</f>
        <v>1.1032194317633013</v>
      </c>
      <c r="S216" s="283">
        <f>IF(P204="NA","NA",+P216/P204)</f>
        <v>1.1032194317633013</v>
      </c>
      <c r="T216" s="10"/>
      <c r="U216" s="281">
        <f t="shared" si="48"/>
        <v>116.62761340662678</v>
      </c>
      <c r="V216" s="281">
        <f t="shared" si="49"/>
        <v>116.62761340662678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127.23851035141863</v>
      </c>
      <c r="C217" s="282">
        <f t="shared" si="41"/>
        <v>1</v>
      </c>
      <c r="D217" s="281">
        <f t="shared" si="42"/>
        <v>127.23851035141863</v>
      </c>
      <c r="E217" s="10">
        <f t="shared" si="43"/>
        <v>1</v>
      </c>
      <c r="F217" s="283">
        <f t="shared" si="50"/>
        <v>1.0524336531822991</v>
      </c>
      <c r="G217" s="283">
        <f t="shared" si="51"/>
        <v>1.0524336531822991</v>
      </c>
      <c r="H217" s="10"/>
      <c r="I217" s="281">
        <f t="shared" si="44"/>
        <v>127.29693168681895</v>
      </c>
      <c r="J217" s="281">
        <f t="shared" si="45"/>
        <v>127.29693168681895</v>
      </c>
      <c r="K217" s="10"/>
      <c r="L217" s="283">
        <f t="shared" si="52"/>
        <v>1.0806228573797672</v>
      </c>
      <c r="M217" s="283">
        <f t="shared" si="53"/>
        <v>1.0806228573797672</v>
      </c>
      <c r="N217" s="10"/>
      <c r="O217" s="281">
        <f t="shared" si="46"/>
        <v>121.6610274610419</v>
      </c>
      <c r="P217" s="281">
        <f t="shared" si="47"/>
        <v>121.6610274610419</v>
      </c>
      <c r="Q217" s="10"/>
      <c r="R217" s="283">
        <f t="shared" ref="R217:R222" si="54">IF(O205="NA","NA",+O217/O205)</f>
        <v>1.0906726553025481</v>
      </c>
      <c r="S217" s="283">
        <f t="shared" ref="S217:S222" si="55">IF(P205="NA","NA",+P217/P205)</f>
        <v>1.0906726553025481</v>
      </c>
      <c r="T217" s="10"/>
      <c r="U217" s="281">
        <f t="shared" si="48"/>
        <v>117.15587948014007</v>
      </c>
      <c r="V217" s="281">
        <f t="shared" si="49"/>
        <v>117.15587948014007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119.53416202431487</v>
      </c>
      <c r="C218" s="282">
        <f t="shared" si="41"/>
        <v>1</v>
      </c>
      <c r="D218" s="281">
        <f t="shared" si="42"/>
        <v>119.53416202431487</v>
      </c>
      <c r="E218" s="10">
        <f t="shared" si="43"/>
        <v>1</v>
      </c>
      <c r="F218" s="283">
        <f t="shared" si="50"/>
        <v>1.0341169046354379</v>
      </c>
      <c r="G218" s="283">
        <f t="shared" si="51"/>
        <v>1.0341169046354379</v>
      </c>
      <c r="H218" s="10"/>
      <c r="I218" s="281">
        <f t="shared" si="44"/>
        <v>124.08701380410388</v>
      </c>
      <c r="J218" s="281">
        <f t="shared" si="45"/>
        <v>124.08701380410388</v>
      </c>
      <c r="K218" s="10"/>
      <c r="L218" s="283">
        <f t="shared" si="52"/>
        <v>1.0509322196815247</v>
      </c>
      <c r="M218" s="283">
        <f t="shared" si="53"/>
        <v>1.0509322196815247</v>
      </c>
      <c r="N218" s="10"/>
      <c r="O218" s="281">
        <f t="shared" si="46"/>
        <v>122.30571863485011</v>
      </c>
      <c r="P218" s="281">
        <f t="shared" si="47"/>
        <v>122.30571863485011</v>
      </c>
      <c r="Q218" s="10"/>
      <c r="R218" s="283">
        <f t="shared" si="54"/>
        <v>1.0709844308021184</v>
      </c>
      <c r="S218" s="283">
        <f t="shared" si="55"/>
        <v>1.0709844308021184</v>
      </c>
      <c r="T218" s="10"/>
      <c r="U218" s="281">
        <f t="shared" si="48"/>
        <v>117.4845121834141</v>
      </c>
      <c r="V218" s="281">
        <f t="shared" si="49"/>
        <v>117.4845121834141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119.87264833936263</v>
      </c>
      <c r="C219" s="282">
        <f t="shared" si="41"/>
        <v>1</v>
      </c>
      <c r="D219" s="281">
        <f t="shared" si="42"/>
        <v>119.87264833936263</v>
      </c>
      <c r="E219" s="10">
        <f t="shared" si="43"/>
        <v>1</v>
      </c>
      <c r="F219" s="283">
        <f t="shared" si="50"/>
        <v>1.0584222231945926</v>
      </c>
      <c r="G219" s="283">
        <f t="shared" si="51"/>
        <v>1.0584222231945926</v>
      </c>
      <c r="H219" s="10"/>
      <c r="I219" s="281">
        <f t="shared" si="44"/>
        <v>122.21510690503203</v>
      </c>
      <c r="J219" s="281">
        <f t="shared" si="45"/>
        <v>122.21510690503203</v>
      </c>
      <c r="K219" s="10"/>
      <c r="L219" s="283">
        <f t="shared" si="52"/>
        <v>1.0483192314077723</v>
      </c>
      <c r="M219" s="283">
        <f t="shared" si="53"/>
        <v>1.0483192314077723</v>
      </c>
      <c r="N219" s="10"/>
      <c r="O219" s="281">
        <f t="shared" si="46"/>
        <v>122.56748305125792</v>
      </c>
      <c r="P219" s="281">
        <f t="shared" si="47"/>
        <v>122.56748305125792</v>
      </c>
      <c r="Q219" s="10"/>
      <c r="R219" s="283">
        <f t="shared" si="54"/>
        <v>1.064967564518446</v>
      </c>
      <c r="S219" s="283">
        <f t="shared" si="55"/>
        <v>1.064967564518446</v>
      </c>
      <c r="T219" s="10"/>
      <c r="U219" s="281">
        <f t="shared" si="48"/>
        <v>118.03590103866316</v>
      </c>
      <c r="V219" s="281">
        <f t="shared" si="49"/>
        <v>118.03590103866316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116.01377592746509</v>
      </c>
      <c r="C220" s="282">
        <f t="shared" si="41"/>
        <v>1</v>
      </c>
      <c r="D220" s="281">
        <f t="shared" si="42"/>
        <v>116.01377592746509</v>
      </c>
      <c r="E220" s="10">
        <f t="shared" si="43"/>
        <v>1</v>
      </c>
      <c r="F220" s="283">
        <f t="shared" si="50"/>
        <v>1.1292566219343005</v>
      </c>
      <c r="G220" s="283">
        <f t="shared" si="51"/>
        <v>1.1292566219343005</v>
      </c>
      <c r="H220" s="10"/>
      <c r="I220" s="281">
        <f t="shared" si="44"/>
        <v>118.47352876371419</v>
      </c>
      <c r="J220" s="281">
        <f t="shared" si="45"/>
        <v>118.47352876371419</v>
      </c>
      <c r="K220" s="10"/>
      <c r="L220" s="283">
        <f t="shared" si="52"/>
        <v>1.0718960906010495</v>
      </c>
      <c r="M220" s="283">
        <f t="shared" si="53"/>
        <v>1.0718960906010495</v>
      </c>
      <c r="N220" s="10"/>
      <c r="O220" s="281">
        <f t="shared" si="46"/>
        <v>122.88523022526658</v>
      </c>
      <c r="P220" s="281">
        <f t="shared" si="47"/>
        <v>122.88523022526658</v>
      </c>
      <c r="Q220" s="10"/>
      <c r="R220" s="283">
        <f t="shared" si="54"/>
        <v>1.0763984539252973</v>
      </c>
      <c r="S220" s="283">
        <f t="shared" si="55"/>
        <v>1.0763984539252973</v>
      </c>
      <c r="T220" s="10"/>
      <c r="U220" s="281">
        <f t="shared" si="48"/>
        <v>119.14249544798211</v>
      </c>
      <c r="V220" s="281">
        <f t="shared" si="49"/>
        <v>119.14249544798211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117.47706354236719</v>
      </c>
      <c r="C221" s="282">
        <f t="shared" si="41"/>
        <v>1</v>
      </c>
      <c r="D221" s="281">
        <f t="shared" si="42"/>
        <v>117.47706354236719</v>
      </c>
      <c r="E221" s="10">
        <f t="shared" si="43"/>
        <v>1</v>
      </c>
      <c r="F221" s="283">
        <f t="shared" si="50"/>
        <v>1.1055137051199808</v>
      </c>
      <c r="G221" s="283">
        <f t="shared" si="51"/>
        <v>1.1055137051199808</v>
      </c>
      <c r="H221" s="10"/>
      <c r="I221" s="281">
        <f t="shared" si="44"/>
        <v>117.78782926973163</v>
      </c>
      <c r="J221" s="281">
        <f t="shared" si="45"/>
        <v>117.78782926973163</v>
      </c>
      <c r="K221" s="10"/>
      <c r="L221" s="283">
        <f t="shared" si="52"/>
        <v>1.0965327143458683</v>
      </c>
      <c r="M221" s="283">
        <f t="shared" si="53"/>
        <v>1.0965327143458683</v>
      </c>
      <c r="N221" s="10"/>
      <c r="O221" s="281">
        <f t="shared" si="46"/>
        <v>120.93742153691777</v>
      </c>
      <c r="P221" s="281">
        <f t="shared" si="47"/>
        <v>120.93742153691777</v>
      </c>
      <c r="Q221" s="10"/>
      <c r="R221" s="283">
        <f t="shared" si="54"/>
        <v>1.0726551189305225</v>
      </c>
      <c r="S221" s="283">
        <f t="shared" si="55"/>
        <v>1.0726551189305225</v>
      </c>
      <c r="T221" s="10"/>
      <c r="U221" s="281">
        <f t="shared" si="48"/>
        <v>120.07686048446271</v>
      </c>
      <c r="V221" s="281">
        <f t="shared" si="49"/>
        <v>120.07686048446271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133.5639877149807</v>
      </c>
      <c r="C222" s="282">
        <f t="shared" si="41"/>
        <v>1</v>
      </c>
      <c r="D222" s="281">
        <f t="shared" si="42"/>
        <v>133.5639877149807</v>
      </c>
      <c r="E222" s="10">
        <f t="shared" si="43"/>
        <v>1</v>
      </c>
      <c r="F222" s="283">
        <f t="shared" si="50"/>
        <v>1.0728695299913373</v>
      </c>
      <c r="G222" s="283">
        <f t="shared" si="51"/>
        <v>1.0728695299913373</v>
      </c>
      <c r="H222" s="10"/>
      <c r="I222" s="281">
        <f t="shared" si="44"/>
        <v>122.35160906160434</v>
      </c>
      <c r="J222" s="281">
        <f t="shared" si="45"/>
        <v>122.35160906160434</v>
      </c>
      <c r="K222" s="10"/>
      <c r="L222" s="283">
        <f t="shared" si="52"/>
        <v>1.1006418341810837</v>
      </c>
      <c r="M222" s="283">
        <f t="shared" si="53"/>
        <v>1.1006418341810837</v>
      </c>
      <c r="N222" s="10"/>
      <c r="O222" s="281">
        <f t="shared" si="46"/>
        <v>122.28335798331818</v>
      </c>
      <c r="P222" s="281">
        <f t="shared" si="47"/>
        <v>122.28335798331818</v>
      </c>
      <c r="Q222" s="10"/>
      <c r="R222" s="283">
        <f t="shared" si="54"/>
        <v>1.0738581542734449</v>
      </c>
      <c r="S222" s="283">
        <f t="shared" si="55"/>
        <v>1.0738581542734449</v>
      </c>
      <c r="T222" s="10"/>
      <c r="U222" s="281">
        <f t="shared" si="48"/>
        <v>120.83283505674194</v>
      </c>
      <c r="V222" s="281">
        <f t="shared" si="49"/>
        <v>120.83283505674194</v>
      </c>
      <c r="W222" s="10"/>
      <c r="X222" s="283">
        <f>IF(U210="NA","NA",+U222/U210)</f>
        <v>1.088164630421995</v>
      </c>
      <c r="Y222" s="283">
        <f>IF(V210="NA","NA",+V222/V210)</f>
        <v>1.088164630421995</v>
      </c>
    </row>
    <row r="223" spans="1:25" x14ac:dyDescent="0.2">
      <c r="A223" s="280">
        <f t="shared" si="39"/>
        <v>45017</v>
      </c>
      <c r="B223" s="281">
        <f t="shared" ca="1" si="40"/>
        <v>118.6059679653001</v>
      </c>
      <c r="C223" s="282">
        <f t="shared" si="41"/>
        <v>1</v>
      </c>
      <c r="D223" s="281">
        <f t="shared" ca="1" si="42"/>
        <v>118.6059679653001</v>
      </c>
      <c r="E223" s="10">
        <f t="shared" ca="1" si="43"/>
        <v>1</v>
      </c>
      <c r="F223" s="283">
        <f t="shared" ca="1" si="50"/>
        <v>1.044377189551998</v>
      </c>
      <c r="G223" s="283">
        <f t="shared" ca="1" si="51"/>
        <v>1.044377189551998</v>
      </c>
      <c r="H223" s="10"/>
      <c r="I223" s="281">
        <f t="shared" ca="1" si="44"/>
        <v>123.21567307421599</v>
      </c>
      <c r="J223" s="281">
        <f t="shared" ca="1" si="45"/>
        <v>123.21567307421599</v>
      </c>
      <c r="K223" s="10"/>
      <c r="L223" s="283">
        <f ca="1">IF(OR(I211="NA",I223="NA"),"NA",+I223/I211)</f>
        <v>1.073546671621662</v>
      </c>
      <c r="M223" s="283">
        <f ca="1">IF(OR(J211="NA",J223="NA"),"NA",+J223/J211)</f>
        <v>1.073546671621662</v>
      </c>
      <c r="N223" s="10"/>
      <c r="O223" s="281">
        <f t="shared" ca="1" si="46"/>
        <v>120.8446009189651</v>
      </c>
      <c r="P223" s="281">
        <f t="shared" ca="1" si="47"/>
        <v>120.8446009189651</v>
      </c>
      <c r="Q223" s="10"/>
      <c r="R223" s="283">
        <f ca="1">IF(OR(O211="NA",O223="NA"),"NA",+O223/O211)</f>
        <v>1.0727369393050259</v>
      </c>
      <c r="S223" s="283">
        <f ca="1">IF(OR(P211="NA",P223="NA"),"NA",+P223/P211)</f>
        <v>1.0727369393050259</v>
      </c>
      <c r="T223" s="10"/>
      <c r="U223" s="281">
        <f t="shared" ca="1" si="48"/>
        <v>121.25281419000351</v>
      </c>
      <c r="V223" s="281">
        <f t="shared" ca="1" si="49"/>
        <v>121.25281419000351</v>
      </c>
      <c r="W223" s="10"/>
      <c r="X223" s="283">
        <f ca="1">IF(OR(U211="NA",U223="NA"),"NA",+U223/U211)</f>
        <v>1.0816606396271473</v>
      </c>
      <c r="Y223" s="283">
        <f ca="1">IF(OR(V211="NA",V223="NA"),"NA",+V223/V211)</f>
        <v>1.0816606396271473</v>
      </c>
    </row>
    <row r="224" spans="1:25" x14ac:dyDescent="0.2">
      <c r="A224" s="280">
        <f t="shared" si="39"/>
        <v>45047</v>
      </c>
      <c r="B224" s="281">
        <f t="shared" ca="1" si="40"/>
        <v>124.33723938124062</v>
      </c>
      <c r="C224" s="282">
        <f t="shared" si="41"/>
        <v>1</v>
      </c>
      <c r="D224" s="281">
        <f t="shared" ca="1" si="42"/>
        <v>124.33723938124062</v>
      </c>
      <c r="E224" s="10">
        <f t="shared" ca="1" si="43"/>
        <v>1</v>
      </c>
      <c r="F224" s="283">
        <f t="shared" ca="1" si="50"/>
        <v>1.0749677803040458</v>
      </c>
      <c r="G224" s="283">
        <f t="shared" ca="1" si="51"/>
        <v>1.0749677803040458</v>
      </c>
      <c r="H224" s="10"/>
      <c r="I224" s="281">
        <f t="shared" ca="1" si="44"/>
        <v>125.50239835384048</v>
      </c>
      <c r="J224" s="281">
        <f t="shared" ca="1" si="45"/>
        <v>125.50239835384048</v>
      </c>
      <c r="K224" s="10"/>
      <c r="L224" s="283">
        <f t="shared" ref="L224:M234" ca="1" si="56">IF(OR(I212="NA",I224="NA"),"NA",+I224/I212)</f>
        <v>1.0644079422801696</v>
      </c>
      <c r="M224" s="283">
        <f t="shared" ca="1" si="56"/>
        <v>1.0644079422801696</v>
      </c>
      <c r="N224" s="10"/>
      <c r="O224" s="281">
        <f t="shared" ca="1" si="46"/>
        <v>121.64511381178606</v>
      </c>
      <c r="P224" s="281">
        <f t="shared" ca="1" si="47"/>
        <v>121.64511381178606</v>
      </c>
      <c r="Q224" s="10"/>
      <c r="R224" s="283">
        <f t="shared" ref="R224:R234" ca="1" si="57">IF(OR(O212="NA",O224="NA"),"NA",+O224/O212)</f>
        <v>1.079722568243962</v>
      </c>
      <c r="S224" s="283">
        <f t="shared" ref="S224:S234" ca="1" si="58">IF(OR(P212="NA",P224="NA"),"NA",+P224/P212)</f>
        <v>1.079722568243962</v>
      </c>
      <c r="T224" s="10"/>
      <c r="U224" s="281">
        <f t="shared" ca="1" si="48"/>
        <v>121.97541622331806</v>
      </c>
      <c r="V224" s="281">
        <f t="shared" ca="1" si="49"/>
        <v>121.97541622331806</v>
      </c>
      <c r="W224" s="10"/>
      <c r="X224" s="283">
        <f t="shared" ref="X224:X234" ca="1" si="59">IF(OR(U212="NA",U224="NA"),"NA",+U224/U212)</f>
        <v>1.0753239175115026</v>
      </c>
      <c r="Y224" s="283">
        <f t="shared" ref="Y224:Y234" ca="1" si="60">IF(OR(V212="NA",V224="NA"),"NA",+V224/V212)</f>
        <v>1.0753239175115026</v>
      </c>
    </row>
    <row r="225" spans="1:25" x14ac:dyDescent="0.2">
      <c r="A225" s="280">
        <f t="shared" si="39"/>
        <v>45078</v>
      </c>
      <c r="B225" s="281">
        <f t="shared" ca="1" si="40"/>
        <v>126.52959469531471</v>
      </c>
      <c r="C225" s="282">
        <f t="shared" si="41"/>
        <v>1</v>
      </c>
      <c r="D225" s="281">
        <f t="shared" ca="1" si="42"/>
        <v>126.52959469531471</v>
      </c>
      <c r="E225" s="10">
        <f t="shared" ca="1" si="43"/>
        <v>1</v>
      </c>
      <c r="F225" s="283">
        <f t="shared" ca="1" si="50"/>
        <v>1.0695468255275449</v>
      </c>
      <c r="G225" s="283">
        <f t="shared" ca="1" si="51"/>
        <v>1.0695468255275449</v>
      </c>
      <c r="H225" s="10"/>
      <c r="I225" s="281">
        <f t="shared" ca="1" si="44"/>
        <v>123.15760068061847</v>
      </c>
      <c r="J225" s="281">
        <f t="shared" ca="1" si="45"/>
        <v>123.15760068061847</v>
      </c>
      <c r="K225" s="10"/>
      <c r="L225" s="283">
        <f t="shared" ca="1" si="56"/>
        <v>1.0631261638262512</v>
      </c>
      <c r="M225" s="283">
        <f t="shared" ca="1" si="56"/>
        <v>1.0631261638262512</v>
      </c>
      <c r="N225" s="10"/>
      <c r="O225" s="281">
        <f t="shared" ca="1" si="46"/>
        <v>122.7546048711114</v>
      </c>
      <c r="P225" s="281">
        <f t="shared" ca="1" si="47"/>
        <v>122.7546048711114</v>
      </c>
      <c r="Q225" s="10"/>
      <c r="R225" s="283">
        <f t="shared" ca="1" si="57"/>
        <v>1.0814972145942614</v>
      </c>
      <c r="S225" s="283">
        <f t="shared" ca="1" si="58"/>
        <v>1.0814972145942614</v>
      </c>
      <c r="T225" s="10"/>
      <c r="U225" s="281">
        <f t="shared" ca="1" si="48"/>
        <v>122.66104396118466</v>
      </c>
      <c r="V225" s="281">
        <f t="shared" ca="1" si="49"/>
        <v>122.66104396118466</v>
      </c>
      <c r="W225" s="10"/>
      <c r="X225" s="283">
        <f t="shared" ca="1" si="59"/>
        <v>1.0731750469375669</v>
      </c>
      <c r="Y225" s="283">
        <f t="shared" ca="1" si="60"/>
        <v>1.0731750469375669</v>
      </c>
    </row>
    <row r="226" spans="1:25" x14ac:dyDescent="0.2">
      <c r="A226" s="280">
        <f t="shared" si="39"/>
        <v>45108</v>
      </c>
      <c r="B226" s="281">
        <f t="shared" ca="1" si="40"/>
        <v>123.03063866882034</v>
      </c>
      <c r="C226" s="282">
        <f t="shared" si="41"/>
        <v>1</v>
      </c>
      <c r="D226" s="281">
        <f t="shared" ca="1" si="42"/>
        <v>123.03063866882034</v>
      </c>
      <c r="E226" s="10">
        <f t="shared" ca="1" si="43"/>
        <v>1</v>
      </c>
      <c r="F226" s="283">
        <f t="shared" ca="1" si="50"/>
        <v>1.078201362594102</v>
      </c>
      <c r="G226" s="283">
        <f t="shared" ca="1" si="51"/>
        <v>1.078201362594102</v>
      </c>
      <c r="H226" s="10"/>
      <c r="I226" s="281">
        <f t="shared" ca="1" si="44"/>
        <v>124.63249091512523</v>
      </c>
      <c r="J226" s="281">
        <f t="shared" ca="1" si="45"/>
        <v>124.63249091512523</v>
      </c>
      <c r="K226" s="10"/>
      <c r="L226" s="283">
        <f t="shared" ca="1" si="56"/>
        <v>1.074185378475377</v>
      </c>
      <c r="M226" s="283">
        <f t="shared" ca="1" si="56"/>
        <v>1.074185378475377</v>
      </c>
      <c r="N226" s="10"/>
      <c r="O226" s="281">
        <f t="shared" ca="1" si="46"/>
        <v>123.9240819946706</v>
      </c>
      <c r="P226" s="281">
        <f t="shared" ca="1" si="47"/>
        <v>123.9240819946706</v>
      </c>
      <c r="Q226" s="10"/>
      <c r="R226" s="283">
        <f t="shared" ca="1" si="57"/>
        <v>1.0738677556559042</v>
      </c>
      <c r="S226" s="283">
        <f t="shared" ca="1" si="58"/>
        <v>1.0738677556559042</v>
      </c>
      <c r="T226" s="10"/>
      <c r="U226" s="281">
        <f t="shared" ca="1" si="48"/>
        <v>123.40465610996858</v>
      </c>
      <c r="V226" s="281">
        <f t="shared" ca="1" si="49"/>
        <v>123.40465610996858</v>
      </c>
      <c r="W226" s="10"/>
      <c r="X226" s="283">
        <f t="shared" ca="1" si="59"/>
        <v>1.0751262895902032</v>
      </c>
      <c r="Y226" s="283">
        <f t="shared" ca="1" si="60"/>
        <v>1.0751262895902032</v>
      </c>
    </row>
    <row r="227" spans="1:25" x14ac:dyDescent="0.2">
      <c r="A227" s="280">
        <f t="shared" si="39"/>
        <v>45139</v>
      </c>
      <c r="B227" s="281">
        <f t="shared" ca="1" si="40"/>
        <v>133.99423057285816</v>
      </c>
      <c r="C227" s="282">
        <f t="shared" si="41"/>
        <v>1</v>
      </c>
      <c r="D227" s="281">
        <f t="shared" ca="1" si="42"/>
        <v>133.99423057285816</v>
      </c>
      <c r="E227" s="10">
        <f t="shared" ca="1" si="43"/>
        <v>1</v>
      </c>
      <c r="F227" s="283">
        <f t="shared" ca="1" si="50"/>
        <v>1.0373967828030779</v>
      </c>
      <c r="G227" s="283">
        <f t="shared" ca="1" si="51"/>
        <v>1.0373967828030779</v>
      </c>
      <c r="H227" s="10"/>
      <c r="I227" s="281">
        <f t="shared" ca="1" si="44"/>
        <v>127.85148797899774</v>
      </c>
      <c r="J227" s="281">
        <f t="shared" ca="1" si="45"/>
        <v>127.85148797899774</v>
      </c>
      <c r="K227" s="10"/>
      <c r="L227" s="283">
        <f t="shared" ca="1" si="56"/>
        <v>1.0607931928045515</v>
      </c>
      <c r="M227" s="283">
        <f t="shared" ca="1" si="56"/>
        <v>1.0607931928045515</v>
      </c>
      <c r="N227" s="10"/>
      <c r="O227" s="281">
        <f t="shared" ca="1" si="46"/>
        <v>126.67694316641909</v>
      </c>
      <c r="P227" s="281">
        <f t="shared" ca="1" si="47"/>
        <v>126.67694316641909</v>
      </c>
      <c r="Q227" s="10"/>
      <c r="R227" s="283">
        <f t="shared" ca="1" si="57"/>
        <v>1.0625807357715078</v>
      </c>
      <c r="S227" s="283">
        <f t="shared" ca="1" si="58"/>
        <v>1.0625807357715078</v>
      </c>
      <c r="T227" s="10"/>
      <c r="U227" s="281">
        <f t="shared" ca="1" si="48"/>
        <v>123.80718235166843</v>
      </c>
      <c r="V227" s="281">
        <f t="shared" ca="1" si="49"/>
        <v>123.80718235166843</v>
      </c>
      <c r="W227" s="10"/>
      <c r="X227" s="283">
        <f t="shared" ca="1" si="59"/>
        <v>1.067477417992287</v>
      </c>
      <c r="Y227" s="283">
        <f t="shared" ca="1" si="60"/>
        <v>1.067477417992287</v>
      </c>
    </row>
    <row r="228" spans="1:25" x14ac:dyDescent="0.2">
      <c r="A228" s="280">
        <f t="shared" si="39"/>
        <v>45170</v>
      </c>
      <c r="B228" s="281">
        <f t="shared" ca="1" si="40"/>
        <v>129.29934720211332</v>
      </c>
      <c r="C228" s="282">
        <f t="shared" si="41"/>
        <v>1</v>
      </c>
      <c r="D228" s="281">
        <f t="shared" ca="1" si="42"/>
        <v>129.29934720211332</v>
      </c>
      <c r="E228" s="10">
        <f t="shared" ca="1" si="43"/>
        <v>1</v>
      </c>
      <c r="F228" s="283">
        <f t="shared" ca="1" si="50"/>
        <v>1.0303691744087005</v>
      </c>
      <c r="G228" s="283">
        <f t="shared" ca="1" si="51"/>
        <v>1.0303691744087005</v>
      </c>
      <c r="H228" s="10"/>
      <c r="I228" s="281">
        <f t="shared" ca="1" si="44"/>
        <v>128.77473881459727</v>
      </c>
      <c r="J228" s="281">
        <f t="shared" ca="1" si="45"/>
        <v>128.77473881459727</v>
      </c>
      <c r="K228" s="10"/>
      <c r="L228" s="283">
        <f t="shared" ca="1" si="56"/>
        <v>1.0476316817749278</v>
      </c>
      <c r="M228" s="283">
        <f t="shared" ca="1" si="56"/>
        <v>1.0476316817749278</v>
      </c>
      <c r="N228" s="10"/>
      <c r="O228" s="281">
        <f t="shared" ca="1" si="46"/>
        <v>125.96616974760786</v>
      </c>
      <c r="P228" s="281">
        <f t="shared" ca="1" si="47"/>
        <v>125.96616974760786</v>
      </c>
      <c r="Q228" s="10"/>
      <c r="R228" s="283">
        <f t="shared" ca="1" si="57"/>
        <v>1.0551493558799869</v>
      </c>
      <c r="S228" s="283">
        <f t="shared" ca="1" si="58"/>
        <v>1.0551493558799869</v>
      </c>
      <c r="T228" s="10"/>
      <c r="U228" s="281">
        <f t="shared" ca="1" si="48"/>
        <v>124.12476386546302</v>
      </c>
      <c r="V228" s="281">
        <f t="shared" ca="1" si="49"/>
        <v>124.12476386546302</v>
      </c>
      <c r="W228" s="10"/>
      <c r="X228" s="283">
        <f t="shared" ca="1" si="59"/>
        <v>1.0642828078175375</v>
      </c>
      <c r="Y228" s="283">
        <f t="shared" ca="1" si="60"/>
        <v>1.0642828078175375</v>
      </c>
    </row>
    <row r="229" spans="1:25" x14ac:dyDescent="0.2">
      <c r="A229" s="280">
        <f t="shared" si="39"/>
        <v>45200</v>
      </c>
      <c r="B229" s="281">
        <f t="shared" ca="1" si="40"/>
        <v>149.11806151825849</v>
      </c>
      <c r="C229" s="282">
        <f t="shared" si="41"/>
        <v>1</v>
      </c>
      <c r="D229" s="281">
        <f t="shared" ca="1" si="42"/>
        <v>149.11806151825849</v>
      </c>
      <c r="E229" s="10">
        <f t="shared" ca="1" si="43"/>
        <v>1</v>
      </c>
      <c r="F229" s="283">
        <f t="shared" ca="1" si="50"/>
        <v>1.1719569893298103</v>
      </c>
      <c r="G229" s="283">
        <f t="shared" ca="1" si="51"/>
        <v>1.1719569893298103</v>
      </c>
      <c r="H229" s="10"/>
      <c r="I229" s="281">
        <f t="shared" ca="1" si="44"/>
        <v>137.47054643107666</v>
      </c>
      <c r="J229" s="281">
        <f t="shared" ca="1" si="45"/>
        <v>137.47054643107666</v>
      </c>
      <c r="K229" s="10"/>
      <c r="L229" s="283">
        <f t="shared" ca="1" si="56"/>
        <v>1.079920345364547</v>
      </c>
      <c r="M229" s="283">
        <f t="shared" ca="1" si="56"/>
        <v>1.079920345364547</v>
      </c>
      <c r="N229" s="10"/>
      <c r="O229" s="281">
        <f t="shared" ca="1" si="46"/>
        <v>131.05151867310096</v>
      </c>
      <c r="P229" s="281">
        <f t="shared" ca="1" si="47"/>
        <v>131.05151867310096</v>
      </c>
      <c r="Q229" s="10"/>
      <c r="R229" s="283">
        <f t="shared" ca="1" si="57"/>
        <v>1.0771856970800782</v>
      </c>
      <c r="S229" s="283">
        <f t="shared" ca="1" si="58"/>
        <v>1.0771856970800782</v>
      </c>
      <c r="T229" s="10"/>
      <c r="U229" s="281">
        <f t="shared" ca="1" si="48"/>
        <v>125.94805979603301</v>
      </c>
      <c r="V229" s="281">
        <f t="shared" ca="1" si="49"/>
        <v>125.94805979603301</v>
      </c>
      <c r="W229" s="10"/>
      <c r="X229" s="283">
        <f t="shared" ca="1" si="59"/>
        <v>1.0750468551378454</v>
      </c>
      <c r="Y229" s="283">
        <f t="shared" ca="1" si="60"/>
        <v>1.0750468551378454</v>
      </c>
    </row>
    <row r="230" spans="1:25" x14ac:dyDescent="0.2">
      <c r="A230" s="280">
        <f t="shared" si="39"/>
        <v>45231</v>
      </c>
      <c r="B230" s="281">
        <f t="shared" ca="1" si="40"/>
        <v>143.55464408573698</v>
      </c>
      <c r="C230" s="282">
        <f t="shared" si="41"/>
        <v>1</v>
      </c>
      <c r="D230" s="281">
        <f t="shared" ca="1" si="42"/>
        <v>143.55464408573698</v>
      </c>
      <c r="E230" s="10">
        <f t="shared" ca="1" si="43"/>
        <v>1</v>
      </c>
      <c r="F230" s="283">
        <f t="shared" ca="1" si="50"/>
        <v>1.2009507713496668</v>
      </c>
      <c r="G230" s="283">
        <f t="shared" ca="1" si="51"/>
        <v>1.2009507713496668</v>
      </c>
      <c r="H230" s="10"/>
      <c r="I230" s="281">
        <f t="shared" ca="1" si="44"/>
        <v>140.65735093536958</v>
      </c>
      <c r="J230" s="281">
        <f t="shared" ca="1" si="45"/>
        <v>140.65735093536958</v>
      </c>
      <c r="K230" s="10"/>
      <c r="L230" s="283">
        <f t="shared" ca="1" si="56"/>
        <v>1.1335380441778162</v>
      </c>
      <c r="M230" s="283">
        <f t="shared" ca="1" si="56"/>
        <v>1.1335380441778162</v>
      </c>
      <c r="N230" s="10"/>
      <c r="O230" s="281">
        <f t="shared" ca="1" si="46"/>
        <v>134.25441945718367</v>
      </c>
      <c r="P230" s="281">
        <f t="shared" ca="1" si="47"/>
        <v>134.25441945718367</v>
      </c>
      <c r="Q230" s="10"/>
      <c r="R230" s="283">
        <f t="shared" ca="1" si="57"/>
        <v>1.0976953568132575</v>
      </c>
      <c r="S230" s="283">
        <f t="shared" ca="1" si="58"/>
        <v>1.0976953568132575</v>
      </c>
      <c r="T230" s="10"/>
      <c r="U230" s="281">
        <f t="shared" ca="1" si="48"/>
        <v>127.94976663448485</v>
      </c>
      <c r="V230" s="281">
        <f t="shared" ca="1" si="49"/>
        <v>127.94976663448485</v>
      </c>
      <c r="W230" s="10"/>
      <c r="X230" s="283">
        <f t="shared" ca="1" si="59"/>
        <v>1.089077736772083</v>
      </c>
      <c r="Y230" s="283">
        <f t="shared" ca="1" si="60"/>
        <v>1.089077736772083</v>
      </c>
    </row>
    <row r="231" spans="1:25" x14ac:dyDescent="0.2">
      <c r="A231" s="280">
        <f t="shared" si="39"/>
        <v>45261</v>
      </c>
      <c r="B231" s="281">
        <f t="shared" ca="1" si="40"/>
        <v>132.5937408676709</v>
      </c>
      <c r="C231" s="282">
        <f t="shared" si="41"/>
        <v>1</v>
      </c>
      <c r="D231" s="281">
        <f t="shared" ca="1" si="42"/>
        <v>132.5937408676709</v>
      </c>
      <c r="E231" s="10">
        <f t="shared" ca="1" si="43"/>
        <v>1</v>
      </c>
      <c r="F231" s="283">
        <f t="shared" ca="1" si="50"/>
        <v>1.106121727554517</v>
      </c>
      <c r="G231" s="283">
        <f t="shared" ca="1" si="51"/>
        <v>1.106121727554517</v>
      </c>
      <c r="H231" s="10"/>
      <c r="I231" s="281">
        <f t="shared" ca="1" si="44"/>
        <v>141.75548215722213</v>
      </c>
      <c r="J231" s="281">
        <f t="shared" ca="1" si="45"/>
        <v>141.75548215722213</v>
      </c>
      <c r="K231" s="10"/>
      <c r="L231" s="283">
        <f t="shared" ca="1" si="56"/>
        <v>1.1598851054262389</v>
      </c>
      <c r="M231" s="283">
        <f t="shared" ca="1" si="56"/>
        <v>1.1598851054262389</v>
      </c>
      <c r="N231" s="10"/>
      <c r="O231" s="281">
        <f t="shared" ca="1" si="46"/>
        <v>135.2651104859097</v>
      </c>
      <c r="P231" s="281">
        <f t="shared" ca="1" si="47"/>
        <v>135.2651104859097</v>
      </c>
      <c r="Q231" s="10"/>
      <c r="R231" s="283">
        <f t="shared" ca="1" si="57"/>
        <v>1.1035970317620181</v>
      </c>
      <c r="S231" s="283">
        <f t="shared" ca="1" si="58"/>
        <v>1.1035970317620181</v>
      </c>
      <c r="T231" s="10"/>
      <c r="U231" s="281">
        <f t="shared" ca="1" si="48"/>
        <v>129.00985767851054</v>
      </c>
      <c r="V231" s="281">
        <f t="shared" ca="1" si="49"/>
        <v>129.00985767851054</v>
      </c>
      <c r="W231" s="10"/>
      <c r="X231" s="283">
        <f t="shared" ca="1" si="59"/>
        <v>1.0929713463724298</v>
      </c>
      <c r="Y231" s="283">
        <f t="shared" ca="1" si="60"/>
        <v>1.0929713463724298</v>
      </c>
    </row>
    <row r="232" spans="1:25" x14ac:dyDescent="0.2">
      <c r="A232" s="280">
        <f t="shared" si="39"/>
        <v>45292</v>
      </c>
      <c r="B232" s="281">
        <f t="shared" ca="1" si="40"/>
        <v>127.00956481623867</v>
      </c>
      <c r="C232" s="282">
        <f t="shared" si="41"/>
        <v>1</v>
      </c>
      <c r="D232" s="281">
        <f t="shared" ca="1" si="42"/>
        <v>127.00956481623867</v>
      </c>
      <c r="E232" s="10">
        <f t="shared" ca="1" si="43"/>
        <v>1</v>
      </c>
      <c r="F232" s="283">
        <f t="shared" ca="1" si="50"/>
        <v>1.094780027637825</v>
      </c>
      <c r="G232" s="283">
        <f t="shared" ca="1" si="51"/>
        <v>1.094780027637825</v>
      </c>
      <c r="H232" s="10"/>
      <c r="I232" s="281">
        <f t="shared" ca="1" si="44"/>
        <v>134.38598325654885</v>
      </c>
      <c r="J232" s="281">
        <f t="shared" ca="1" si="45"/>
        <v>134.38598325654885</v>
      </c>
      <c r="K232" s="10"/>
      <c r="L232" s="283">
        <f t="shared" ca="1" si="56"/>
        <v>1.1343123198817751</v>
      </c>
      <c r="M232" s="283">
        <f t="shared" ca="1" si="56"/>
        <v>1.1343123198817751</v>
      </c>
      <c r="N232" s="10"/>
      <c r="O232" s="281">
        <f t="shared" ca="1" si="46"/>
        <v>135.92826484381277</v>
      </c>
      <c r="P232" s="281">
        <f t="shared" ca="1" si="47"/>
        <v>135.92826484381277</v>
      </c>
      <c r="Q232" s="10"/>
      <c r="R232" s="283">
        <f t="shared" ca="1" si="57"/>
        <v>1.1061399697476775</v>
      </c>
      <c r="S232" s="283">
        <f t="shared" ca="1" si="58"/>
        <v>1.1061399697476775</v>
      </c>
      <c r="T232" s="10"/>
      <c r="U232" s="281">
        <f t="shared" ca="1" si="48"/>
        <v>129.92617341924168</v>
      </c>
      <c r="V232" s="281">
        <f t="shared" ca="1" si="49"/>
        <v>129.92617341924168</v>
      </c>
      <c r="W232" s="10"/>
      <c r="X232" s="283">
        <f t="shared" ca="1" si="59"/>
        <v>1.0905107613426457</v>
      </c>
      <c r="Y232" s="283">
        <f t="shared" ca="1" si="60"/>
        <v>1.0905107613426457</v>
      </c>
    </row>
    <row r="233" spans="1:25" x14ac:dyDescent="0.2">
      <c r="A233" s="280">
        <f t="shared" si="39"/>
        <v>45323</v>
      </c>
      <c r="B233" s="281">
        <f t="shared" ca="1" si="40"/>
        <v>119.78322264291478</v>
      </c>
      <c r="C233" s="282">
        <f t="shared" si="41"/>
        <v>1</v>
      </c>
      <c r="D233" s="281">
        <f t="shared" ca="1" si="42"/>
        <v>119.78322264291478</v>
      </c>
      <c r="E233" s="10">
        <f t="shared" ca="1" si="43"/>
        <v>1</v>
      </c>
      <c r="F233" s="283">
        <f t="shared" ca="1" si="50"/>
        <v>1.0196307179547086</v>
      </c>
      <c r="G233" s="283">
        <f t="shared" ca="1" si="51"/>
        <v>1.0196307179547086</v>
      </c>
      <c r="H233" s="10"/>
      <c r="I233" s="281">
        <f t="shared" ca="1" si="44"/>
        <v>126.46217610894145</v>
      </c>
      <c r="J233" s="281">
        <f t="shared" ca="1" si="45"/>
        <v>126.46217610894145</v>
      </c>
      <c r="K233" s="10"/>
      <c r="L233" s="283">
        <f t="shared" ca="1" si="56"/>
        <v>1.0736438296977675</v>
      </c>
      <c r="M233" s="283">
        <f t="shared" ca="1" si="56"/>
        <v>1.0736438296977675</v>
      </c>
      <c r="N233" s="10"/>
      <c r="O233" s="281">
        <f t="shared" ca="1" si="46"/>
        <v>133.55976352215552</v>
      </c>
      <c r="P233" s="281">
        <f t="shared" ca="1" si="47"/>
        <v>133.55976352215552</v>
      </c>
      <c r="Q233" s="10"/>
      <c r="R233" s="283">
        <f t="shared" ca="1" si="57"/>
        <v>1.1043708541560449</v>
      </c>
      <c r="S233" s="283">
        <f t="shared" ca="1" si="58"/>
        <v>1.1043708541560449</v>
      </c>
      <c r="T233" s="10"/>
      <c r="U233" s="281">
        <f t="shared" ca="1" si="48"/>
        <v>130.1183533442873</v>
      </c>
      <c r="V233" s="281">
        <f t="shared" ca="1" si="49"/>
        <v>130.1183533442873</v>
      </c>
      <c r="W233" s="10"/>
      <c r="X233" s="283">
        <f t="shared" ca="1" si="59"/>
        <v>1.083625544666234</v>
      </c>
      <c r="Y233" s="283">
        <f t="shared" ca="1" si="60"/>
        <v>1.083625544666234</v>
      </c>
    </row>
    <row r="234" spans="1:25" x14ac:dyDescent="0.2">
      <c r="A234" s="280">
        <f t="shared" si="39"/>
        <v>45352</v>
      </c>
      <c r="B234" s="281">
        <f t="shared" ca="1" si="40"/>
        <v>139.77999937419818</v>
      </c>
      <c r="C234" s="282">
        <f t="shared" si="41"/>
        <v>1</v>
      </c>
      <c r="D234" s="281">
        <f t="shared" ca="1" si="42"/>
        <v>139.77999937419818</v>
      </c>
      <c r="E234" s="10">
        <f t="shared" ca="1" si="43"/>
        <v>1</v>
      </c>
      <c r="F234" s="283">
        <f t="shared" ca="1" si="50"/>
        <v>1.0465395782617855</v>
      </c>
      <c r="G234" s="283">
        <f t="shared" ca="1" si="51"/>
        <v>1.0465395782617855</v>
      </c>
      <c r="H234" s="10"/>
      <c r="I234" s="281">
        <f t="shared" ca="1" si="44"/>
        <v>128.8575956111172</v>
      </c>
      <c r="J234" s="281">
        <f t="shared" ca="1" si="45"/>
        <v>128.8575956111172</v>
      </c>
      <c r="K234" s="10"/>
      <c r="L234" s="283">
        <f t="shared" ca="1" si="56"/>
        <v>1.053174507465914</v>
      </c>
      <c r="M234" s="283">
        <f t="shared" ca="1" si="56"/>
        <v>1.053174507465914</v>
      </c>
      <c r="N234" s="10"/>
      <c r="O234" s="281">
        <f t="shared" ca="1" si="46"/>
        <v>135.30653888416967</v>
      </c>
      <c r="P234" s="281">
        <f t="shared" ca="1" si="47"/>
        <v>135.30653888416967</v>
      </c>
      <c r="Q234" s="10"/>
      <c r="R234" s="283">
        <f t="shared" ca="1" si="57"/>
        <v>1.1065000267871945</v>
      </c>
      <c r="S234" s="283">
        <f t="shared" ca="1" si="58"/>
        <v>1.1065000267871945</v>
      </c>
      <c r="T234" s="10"/>
      <c r="U234" s="281">
        <f ca="1">IF(SUM($E223:$E234)=12,AVERAGE(B223:B234),"NA")</f>
        <v>130.63635431588878</v>
      </c>
      <c r="V234" s="281">
        <f ca="1">IF(SUM($E223:$E234)=12,AVERAGE(D223:D234),"NA")</f>
        <v>130.63635431588878</v>
      </c>
      <c r="W234" s="10"/>
      <c r="X234" s="283">
        <f t="shared" ca="1" si="59"/>
        <v>1.0811329077443494</v>
      </c>
      <c r="Y234" s="283">
        <f t="shared" ca="1" si="60"/>
        <v>1.0811329077443494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0.12559277712876127</v>
      </c>
      <c r="G251" s="148">
        <f t="shared" ref="G251:G273" si="63">+G211-1</f>
        <v>0.12559277712876127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0.16042903696786359</v>
      </c>
      <c r="G252" s="148">
        <f t="shared" si="63"/>
        <v>0.16042903696786359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9.6303257759204897E-2</v>
      </c>
      <c r="G253" s="148">
        <f t="shared" si="63"/>
        <v>9.6303257759204897E-2</v>
      </c>
      <c r="H253" s="10"/>
      <c r="I253" s="10"/>
      <c r="J253" s="10"/>
      <c r="K253" s="10"/>
      <c r="L253" s="148">
        <f t="shared" ref="L253:L273" si="64">+L213-1</f>
        <v>0.12660315225028684</v>
      </c>
      <c r="M253" s="148">
        <f t="shared" ref="M253:M273" si="65">+M213-1</f>
        <v>0.12660315225028684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5.3654047726110488E-2</v>
      </c>
      <c r="G254" s="148">
        <f t="shared" si="63"/>
        <v>5.3654047726110488E-2</v>
      </c>
      <c r="H254" s="10"/>
      <c r="I254" s="10"/>
      <c r="J254" s="10"/>
      <c r="K254" s="10"/>
      <c r="L254" s="148">
        <f t="shared" si="64"/>
        <v>0.10191605337778187</v>
      </c>
      <c r="M254" s="148">
        <f t="shared" si="65"/>
        <v>0.10191605337778187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0.12542015133440176</v>
      </c>
      <c r="G255" s="148">
        <f t="shared" si="63"/>
        <v>0.12542015133440176</v>
      </c>
      <c r="H255" s="10"/>
      <c r="I255" s="10"/>
      <c r="J255" s="10"/>
      <c r="K255" s="10"/>
      <c r="L255" s="148">
        <f t="shared" si="64"/>
        <v>9.244485769816535E-2</v>
      </c>
      <c r="M255" s="148">
        <f t="shared" si="65"/>
        <v>9.244485769816535E-2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6.5900114705689239E-2</v>
      </c>
      <c r="G256" s="148">
        <f t="shared" si="63"/>
        <v>6.5900114705689239E-2</v>
      </c>
      <c r="H256" s="10"/>
      <c r="I256" s="10"/>
      <c r="J256" s="10"/>
      <c r="K256" s="10"/>
      <c r="L256" s="148">
        <f t="shared" si="64"/>
        <v>8.2053100829343029E-2</v>
      </c>
      <c r="M256" s="148">
        <f t="shared" si="65"/>
        <v>8.2053100829343029E-2</v>
      </c>
      <c r="N256" s="10"/>
      <c r="O256" s="10"/>
      <c r="P256" s="10"/>
      <c r="Q256" s="10"/>
      <c r="R256" s="148">
        <f t="shared" ref="R256:R273" si="66">+R216-1</f>
        <v>0.10321943176330128</v>
      </c>
      <c r="S256" s="148">
        <f t="shared" ref="S256:S273" si="67">+S216-1</f>
        <v>0.10321943176330128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5.2433653182299089E-2</v>
      </c>
      <c r="G257" s="148">
        <f t="shared" si="63"/>
        <v>5.2433653182299089E-2</v>
      </c>
      <c r="H257" s="10"/>
      <c r="I257" s="10"/>
      <c r="J257" s="10"/>
      <c r="K257" s="10"/>
      <c r="L257" s="148">
        <f t="shared" si="64"/>
        <v>8.0622857379767154E-2</v>
      </c>
      <c r="M257" s="148">
        <f t="shared" si="65"/>
        <v>8.0622857379767154E-2</v>
      </c>
      <c r="N257" s="10"/>
      <c r="O257" s="10"/>
      <c r="P257" s="10"/>
      <c r="Q257" s="10"/>
      <c r="R257" s="148">
        <f t="shared" si="66"/>
        <v>9.0672655302548089E-2</v>
      </c>
      <c r="S257" s="148">
        <f t="shared" si="67"/>
        <v>9.0672655302548089E-2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3.4116904635437928E-2</v>
      </c>
      <c r="G258" s="148">
        <f t="shared" si="63"/>
        <v>3.4116904635437928E-2</v>
      </c>
      <c r="H258" s="10"/>
      <c r="I258" s="10"/>
      <c r="J258" s="10"/>
      <c r="K258" s="10"/>
      <c r="L258" s="148">
        <f t="shared" si="64"/>
        <v>5.0932219681524726E-2</v>
      </c>
      <c r="M258" s="148">
        <f t="shared" si="65"/>
        <v>5.0932219681524726E-2</v>
      </c>
      <c r="N258" s="10"/>
      <c r="O258" s="10"/>
      <c r="P258" s="10"/>
      <c r="Q258" s="10"/>
      <c r="R258" s="148">
        <f t="shared" si="66"/>
        <v>7.0984430802118359E-2</v>
      </c>
      <c r="S258" s="148">
        <f t="shared" si="67"/>
        <v>7.0984430802118359E-2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5.842222319459256E-2</v>
      </c>
      <c r="G259" s="148">
        <f t="shared" si="63"/>
        <v>5.842222319459256E-2</v>
      </c>
      <c r="H259" s="10"/>
      <c r="I259" s="10"/>
      <c r="J259" s="10"/>
      <c r="K259" s="10"/>
      <c r="L259" s="148">
        <f t="shared" si="64"/>
        <v>4.8319231407772278E-2</v>
      </c>
      <c r="M259" s="148">
        <f t="shared" si="65"/>
        <v>4.8319231407772278E-2</v>
      </c>
      <c r="N259" s="10"/>
      <c r="O259" s="10"/>
      <c r="P259" s="10"/>
      <c r="Q259" s="10"/>
      <c r="R259" s="148">
        <f t="shared" si="66"/>
        <v>6.4967564518445986E-2</v>
      </c>
      <c r="S259" s="148">
        <f t="shared" si="67"/>
        <v>6.4967564518445986E-2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0.12925662193430054</v>
      </c>
      <c r="G260" s="148">
        <f t="shared" si="63"/>
        <v>0.12925662193430054</v>
      </c>
      <c r="H260" s="10"/>
      <c r="I260" s="10"/>
      <c r="J260" s="10"/>
      <c r="K260" s="10"/>
      <c r="L260" s="148">
        <f t="shared" si="64"/>
        <v>7.1896090601049512E-2</v>
      </c>
      <c r="M260" s="148">
        <f t="shared" si="65"/>
        <v>7.1896090601049512E-2</v>
      </c>
      <c r="N260" s="10"/>
      <c r="O260" s="10"/>
      <c r="P260" s="10"/>
      <c r="Q260" s="10"/>
      <c r="R260" s="148">
        <f t="shared" si="66"/>
        <v>7.6398453925297316E-2</v>
      </c>
      <c r="S260" s="148">
        <f t="shared" si="67"/>
        <v>7.6398453925297316E-2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0.10551370511998082</v>
      </c>
      <c r="G261" s="148">
        <f t="shared" si="63"/>
        <v>0.10551370511998082</v>
      </c>
      <c r="H261" s="10"/>
      <c r="I261" s="10"/>
      <c r="J261" s="10"/>
      <c r="K261" s="10"/>
      <c r="L261" s="148">
        <f t="shared" si="64"/>
        <v>9.6532714345868298E-2</v>
      </c>
      <c r="M261" s="148">
        <f t="shared" si="65"/>
        <v>9.6532714345868298E-2</v>
      </c>
      <c r="N261" s="10"/>
      <c r="O261" s="10"/>
      <c r="P261" s="10"/>
      <c r="Q261" s="10"/>
      <c r="R261" s="148">
        <f t="shared" si="66"/>
        <v>7.2655118930522455E-2</v>
      </c>
      <c r="S261" s="148">
        <f t="shared" si="67"/>
        <v>7.2655118930522455E-2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7.2869529991337334E-2</v>
      </c>
      <c r="G262" s="148">
        <f t="shared" si="63"/>
        <v>7.2869529991337334E-2</v>
      </c>
      <c r="H262" s="10"/>
      <c r="I262" s="10"/>
      <c r="J262" s="10"/>
      <c r="K262" s="10"/>
      <c r="L262" s="148">
        <f t="shared" si="64"/>
        <v>0.10064183418108374</v>
      </c>
      <c r="M262" s="148">
        <f t="shared" si="65"/>
        <v>0.10064183418108374</v>
      </c>
      <c r="N262" s="10"/>
      <c r="O262" s="10"/>
      <c r="P262" s="10"/>
      <c r="Q262" s="10"/>
      <c r="R262" s="148">
        <f t="shared" si="66"/>
        <v>7.3858154273444887E-2</v>
      </c>
      <c r="S262" s="148">
        <f t="shared" si="67"/>
        <v>7.3858154273444887E-2</v>
      </c>
      <c r="T262" s="10"/>
      <c r="U262" s="10"/>
      <c r="V262" s="10"/>
      <c r="W262" s="10"/>
      <c r="X262" s="148">
        <f t="shared" ref="X262:X273" si="68">+X222-1</f>
        <v>8.8164630421994961E-2</v>
      </c>
      <c r="Y262" s="148">
        <f t="shared" ref="Y262:Y273" si="69">+Y222-1</f>
        <v>8.8164630421994961E-2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4.4377189551997986E-2</v>
      </c>
      <c r="G263" s="148">
        <f t="shared" ca="1" si="63"/>
        <v>4.4377189551997986E-2</v>
      </c>
      <c r="H263" s="10"/>
      <c r="I263" s="10"/>
      <c r="J263" s="10"/>
      <c r="K263" s="10"/>
      <c r="L263" s="148">
        <f t="shared" ca="1" si="64"/>
        <v>7.3546671621661952E-2</v>
      </c>
      <c r="M263" s="148">
        <f t="shared" ca="1" si="65"/>
        <v>7.3546671621661952E-2</v>
      </c>
      <c r="N263" s="10"/>
      <c r="O263" s="10"/>
      <c r="P263" s="10"/>
      <c r="Q263" s="10"/>
      <c r="R263" s="148">
        <f t="shared" ca="1" si="66"/>
        <v>7.2736939305025894E-2</v>
      </c>
      <c r="S263" s="148">
        <f t="shared" ca="1" si="67"/>
        <v>7.2736939305025894E-2</v>
      </c>
      <c r="T263" s="10"/>
      <c r="U263" s="10"/>
      <c r="V263" s="10"/>
      <c r="W263" s="10"/>
      <c r="X263" s="148">
        <f t="shared" ca="1" si="68"/>
        <v>8.1660639627147313E-2</v>
      </c>
      <c r="Y263" s="148">
        <f t="shared" ca="1" si="69"/>
        <v>8.1660639627147313E-2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7.4967780304045828E-2</v>
      </c>
      <c r="G264" s="148">
        <f t="shared" ca="1" si="63"/>
        <v>7.4967780304045828E-2</v>
      </c>
      <c r="H264" s="10"/>
      <c r="I264" s="10"/>
      <c r="J264" s="10"/>
      <c r="K264" s="10"/>
      <c r="L264" s="148">
        <f t="shared" ca="1" si="64"/>
        <v>6.440794228016955E-2</v>
      </c>
      <c r="M264" s="148">
        <f t="shared" ca="1" si="65"/>
        <v>6.440794228016955E-2</v>
      </c>
      <c r="N264" s="10"/>
      <c r="O264" s="10"/>
      <c r="P264" s="10"/>
      <c r="Q264" s="10"/>
      <c r="R264" s="148">
        <f t="shared" ca="1" si="66"/>
        <v>7.9722568243961955E-2</v>
      </c>
      <c r="S264" s="148">
        <f t="shared" ca="1" si="67"/>
        <v>7.9722568243961955E-2</v>
      </c>
      <c r="T264" s="10"/>
      <c r="U264" s="10"/>
      <c r="V264" s="10"/>
      <c r="W264" s="10"/>
      <c r="X264" s="148">
        <f t="shared" ca="1" si="68"/>
        <v>7.5323917511502581E-2</v>
      </c>
      <c r="Y264" s="148">
        <f t="shared" ca="1" si="69"/>
        <v>7.5323917511502581E-2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6.9546825527544875E-2</v>
      </c>
      <c r="G265" s="148">
        <f t="shared" ca="1" si="63"/>
        <v>6.9546825527544875E-2</v>
      </c>
      <c r="H265" s="10"/>
      <c r="I265" s="10"/>
      <c r="J265" s="10"/>
      <c r="K265" s="10"/>
      <c r="L265" s="148">
        <f t="shared" ca="1" si="64"/>
        <v>6.3126163826251247E-2</v>
      </c>
      <c r="M265" s="148">
        <f t="shared" ca="1" si="65"/>
        <v>6.3126163826251247E-2</v>
      </c>
      <c r="N265" s="10"/>
      <c r="O265" s="10"/>
      <c r="P265" s="10"/>
      <c r="Q265" s="10"/>
      <c r="R265" s="148">
        <f t="shared" ca="1" si="66"/>
        <v>8.1497214594261402E-2</v>
      </c>
      <c r="S265" s="148">
        <f t="shared" ca="1" si="67"/>
        <v>8.1497214594261402E-2</v>
      </c>
      <c r="T265" s="10"/>
      <c r="U265" s="10"/>
      <c r="V265" s="10"/>
      <c r="W265" s="10"/>
      <c r="X265" s="148">
        <f t="shared" ca="1" si="68"/>
        <v>7.3175046937566934E-2</v>
      </c>
      <c r="Y265" s="148">
        <f t="shared" ca="1" si="69"/>
        <v>7.3175046937566934E-2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7.8201362594102042E-2</v>
      </c>
      <c r="G266" s="148">
        <f t="shared" ca="1" si="63"/>
        <v>7.8201362594102042E-2</v>
      </c>
      <c r="H266" s="10"/>
      <c r="I266" s="10"/>
      <c r="J266" s="10"/>
      <c r="K266" s="10"/>
      <c r="L266" s="148">
        <f t="shared" ca="1" si="64"/>
        <v>7.4185378475376984E-2</v>
      </c>
      <c r="M266" s="148">
        <f t="shared" ca="1" si="65"/>
        <v>7.4185378475376984E-2</v>
      </c>
      <c r="N266" s="10"/>
      <c r="O266" s="10"/>
      <c r="P266" s="10"/>
      <c r="Q266" s="10"/>
      <c r="R266" s="148">
        <f t="shared" ca="1" si="66"/>
        <v>7.3867755655904199E-2</v>
      </c>
      <c r="S266" s="148">
        <f t="shared" ca="1" si="67"/>
        <v>7.3867755655904199E-2</v>
      </c>
      <c r="T266" s="10"/>
      <c r="U266" s="10"/>
      <c r="V266" s="10"/>
      <c r="W266" s="10"/>
      <c r="X266" s="148">
        <f t="shared" ca="1" si="68"/>
        <v>7.5126289590203177E-2</v>
      </c>
      <c r="Y266" s="148">
        <f t="shared" ca="1" si="69"/>
        <v>7.5126289590203177E-2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3.7396782803077899E-2</v>
      </c>
      <c r="G267" s="148">
        <f t="shared" ca="1" si="63"/>
        <v>3.7396782803077899E-2</v>
      </c>
      <c r="H267" s="10"/>
      <c r="I267" s="10"/>
      <c r="J267" s="10"/>
      <c r="K267" s="10"/>
      <c r="L267" s="148">
        <f t="shared" ca="1" si="64"/>
        <v>6.0793192804551532E-2</v>
      </c>
      <c r="M267" s="148">
        <f t="shared" ca="1" si="65"/>
        <v>6.0793192804551532E-2</v>
      </c>
      <c r="N267" s="10"/>
      <c r="O267" s="10"/>
      <c r="P267" s="10"/>
      <c r="Q267" s="10"/>
      <c r="R267" s="148">
        <f t="shared" ca="1" si="66"/>
        <v>6.2580735771507801E-2</v>
      </c>
      <c r="S267" s="148">
        <f t="shared" ca="1" si="67"/>
        <v>6.2580735771507801E-2</v>
      </c>
      <c r="T267" s="10"/>
      <c r="U267" s="10"/>
      <c r="V267" s="10"/>
      <c r="W267" s="10"/>
      <c r="X267" s="148">
        <f t="shared" ca="1" si="68"/>
        <v>6.7477417992287014E-2</v>
      </c>
      <c r="Y267" s="148">
        <f t="shared" ca="1" si="69"/>
        <v>6.7477417992287014E-2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3.0369174408700461E-2</v>
      </c>
      <c r="G268" s="148">
        <f t="shared" ca="1" si="63"/>
        <v>3.0369174408700461E-2</v>
      </c>
      <c r="H268" s="10"/>
      <c r="I268" s="10"/>
      <c r="J268" s="10"/>
      <c r="K268" s="10"/>
      <c r="L268" s="148">
        <f t="shared" ca="1" si="64"/>
        <v>4.7631681774927825E-2</v>
      </c>
      <c r="M268" s="148">
        <f t="shared" ca="1" si="65"/>
        <v>4.7631681774927825E-2</v>
      </c>
      <c r="N268" s="10"/>
      <c r="O268" s="10"/>
      <c r="P268" s="10"/>
      <c r="Q268" s="10"/>
      <c r="R268" s="148">
        <f t="shared" ca="1" si="66"/>
        <v>5.5149355879986928E-2</v>
      </c>
      <c r="S268" s="148">
        <f t="shared" ca="1" si="67"/>
        <v>5.5149355879986928E-2</v>
      </c>
      <c r="T268" s="10"/>
      <c r="U268" s="10"/>
      <c r="V268" s="10"/>
      <c r="W268" s="10"/>
      <c r="X268" s="148">
        <f t="shared" ca="1" si="68"/>
        <v>6.428280781753748E-2</v>
      </c>
      <c r="Y268" s="148">
        <f t="shared" ca="1" si="69"/>
        <v>6.428280781753748E-2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0.17195698932981029</v>
      </c>
      <c r="G269" s="148">
        <f t="shared" ca="1" si="63"/>
        <v>0.17195698932981029</v>
      </c>
      <c r="H269" s="10"/>
      <c r="I269" s="10"/>
      <c r="J269" s="10"/>
      <c r="K269" s="10"/>
      <c r="L269" s="148">
        <f t="shared" ca="1" si="64"/>
        <v>7.9920345364546952E-2</v>
      </c>
      <c r="M269" s="148">
        <f t="shared" ca="1" si="65"/>
        <v>7.9920345364546952E-2</v>
      </c>
      <c r="N269" s="10"/>
      <c r="O269" s="10"/>
      <c r="P269" s="10"/>
      <c r="Q269" s="10"/>
      <c r="R269" s="148">
        <f t="shared" ca="1" si="66"/>
        <v>7.7185697080078164E-2</v>
      </c>
      <c r="S269" s="148">
        <f t="shared" ca="1" si="67"/>
        <v>7.7185697080078164E-2</v>
      </c>
      <c r="T269" s="10"/>
      <c r="U269" s="10"/>
      <c r="V269" s="10"/>
      <c r="W269" s="10"/>
      <c r="X269" s="148">
        <f t="shared" ca="1" si="68"/>
        <v>7.504685513784537E-2</v>
      </c>
      <c r="Y269" s="148">
        <f t="shared" ca="1" si="69"/>
        <v>7.504685513784537E-2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0.20095077134966677</v>
      </c>
      <c r="G270" s="148">
        <f t="shared" ca="1" si="63"/>
        <v>0.20095077134966677</v>
      </c>
      <c r="H270" s="10"/>
      <c r="I270" s="10"/>
      <c r="J270" s="10"/>
      <c r="K270" s="10"/>
      <c r="L270" s="148">
        <f t="shared" ca="1" si="64"/>
        <v>0.13353804417781623</v>
      </c>
      <c r="M270" s="148">
        <f t="shared" ca="1" si="65"/>
        <v>0.13353804417781623</v>
      </c>
      <c r="N270" s="10"/>
      <c r="O270" s="10"/>
      <c r="P270" s="10"/>
      <c r="Q270" s="10"/>
      <c r="R270" s="148">
        <f t="shared" ca="1" si="66"/>
        <v>9.7695356813257472E-2</v>
      </c>
      <c r="S270" s="148">
        <f t="shared" ca="1" si="67"/>
        <v>9.7695356813257472E-2</v>
      </c>
      <c r="T270" s="10"/>
      <c r="U270" s="10"/>
      <c r="V270" s="10"/>
      <c r="W270" s="10"/>
      <c r="X270" s="148">
        <f t="shared" ca="1" si="68"/>
        <v>8.9077736772082972E-2</v>
      </c>
      <c r="Y270" s="148">
        <f t="shared" ca="1" si="69"/>
        <v>8.9077736772082972E-2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0.10612172755451699</v>
      </c>
      <c r="G271" s="148">
        <f t="shared" ca="1" si="63"/>
        <v>0.10612172755451699</v>
      </c>
      <c r="H271" s="10"/>
      <c r="I271" s="10"/>
      <c r="J271" s="10"/>
      <c r="K271" s="10"/>
      <c r="L271" s="148">
        <f t="shared" ca="1" si="64"/>
        <v>0.1598851054262389</v>
      </c>
      <c r="M271" s="148">
        <f t="shared" ca="1" si="65"/>
        <v>0.1598851054262389</v>
      </c>
      <c r="N271" s="10"/>
      <c r="O271" s="10"/>
      <c r="P271" s="10"/>
      <c r="Q271" s="10"/>
      <c r="R271" s="148">
        <f t="shared" ca="1" si="66"/>
        <v>0.10359703176201807</v>
      </c>
      <c r="S271" s="148">
        <f t="shared" ca="1" si="67"/>
        <v>0.10359703176201807</v>
      </c>
      <c r="T271" s="10"/>
      <c r="U271" s="10"/>
      <c r="V271" s="10"/>
      <c r="W271" s="10"/>
      <c r="X271" s="148">
        <f t="shared" ca="1" si="68"/>
        <v>9.2971346372429764E-2</v>
      </c>
      <c r="Y271" s="148">
        <f t="shared" ca="1" si="69"/>
        <v>9.2971346372429764E-2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9.4780027637825004E-2</v>
      </c>
      <c r="G272" s="148">
        <f t="shared" ca="1" si="63"/>
        <v>9.4780027637825004E-2</v>
      </c>
      <c r="H272" s="10"/>
      <c r="I272" s="10"/>
      <c r="J272" s="10"/>
      <c r="K272" s="10"/>
      <c r="L272" s="148">
        <f t="shared" ca="1" si="64"/>
        <v>0.13431231988177506</v>
      </c>
      <c r="M272" s="148">
        <f t="shared" ca="1" si="65"/>
        <v>0.13431231988177506</v>
      </c>
      <c r="N272" s="10"/>
      <c r="O272" s="10"/>
      <c r="P272" s="10"/>
      <c r="Q272" s="10"/>
      <c r="R272" s="148">
        <f t="shared" ca="1" si="66"/>
        <v>0.10613996974767748</v>
      </c>
      <c r="S272" s="148">
        <f t="shared" ca="1" si="67"/>
        <v>0.10613996974767748</v>
      </c>
      <c r="T272" s="10"/>
      <c r="U272" s="10"/>
      <c r="V272" s="10"/>
      <c r="W272" s="10"/>
      <c r="X272" s="148">
        <f t="shared" ca="1" si="68"/>
        <v>9.0510761342645685E-2</v>
      </c>
      <c r="Y272" s="148">
        <f t="shared" ca="1" si="69"/>
        <v>9.0510761342645685E-2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1.963071795470861E-2</v>
      </c>
      <c r="G273" s="148">
        <f t="shared" ca="1" si="63"/>
        <v>1.963071795470861E-2</v>
      </c>
      <c r="H273" s="10"/>
      <c r="I273" s="10"/>
      <c r="J273" s="10"/>
      <c r="K273" s="10"/>
      <c r="L273" s="148">
        <f t="shared" ca="1" si="64"/>
        <v>7.3643829697767504E-2</v>
      </c>
      <c r="M273" s="148">
        <f t="shared" ca="1" si="65"/>
        <v>7.3643829697767504E-2</v>
      </c>
      <c r="N273" s="10"/>
      <c r="O273" s="10"/>
      <c r="P273" s="10"/>
      <c r="Q273" s="10"/>
      <c r="R273" s="148">
        <f t="shared" ca="1" si="66"/>
        <v>0.10437085415604486</v>
      </c>
      <c r="S273" s="148">
        <f t="shared" ca="1" si="67"/>
        <v>0.10437085415604486</v>
      </c>
      <c r="T273" s="10"/>
      <c r="U273" s="10"/>
      <c r="V273" s="10"/>
      <c r="W273" s="10"/>
      <c r="X273" s="148">
        <f t="shared" ca="1" si="68"/>
        <v>8.3625544666233953E-2</v>
      </c>
      <c r="Y273" s="148">
        <f t="shared" ca="1" si="69"/>
        <v>8.3625544666233953E-2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4.6539578261785453E-2</v>
      </c>
      <c r="G274" s="148">
        <f ca="1">+G234-1</f>
        <v>4.6539578261785453E-2</v>
      </c>
      <c r="H274" s="10"/>
      <c r="I274" s="10"/>
      <c r="J274" s="10"/>
      <c r="K274" s="10"/>
      <c r="L274" s="148">
        <f ca="1">+L234-1</f>
        <v>5.3174507465914012E-2</v>
      </c>
      <c r="M274" s="148">
        <f ca="1">+M234-1</f>
        <v>5.3174507465914012E-2</v>
      </c>
      <c r="N274" s="10"/>
      <c r="O274" s="10"/>
      <c r="P274" s="10"/>
      <c r="Q274" s="10"/>
      <c r="R274" s="148">
        <f ca="1">+R234-1</f>
        <v>0.1065000267871945</v>
      </c>
      <c r="S274" s="148">
        <f ca="1">+S234-1</f>
        <v>0.1065000267871945</v>
      </c>
      <c r="T274" s="10"/>
      <c r="U274" s="10"/>
      <c r="V274" s="10"/>
      <c r="W274" s="10"/>
      <c r="X274" s="148">
        <f ca="1">+X234-1</f>
        <v>8.1132907744349447E-2</v>
      </c>
      <c r="Y274" s="148">
        <f ca="1">+Y234-1</f>
        <v>8.1132907744349447E-2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Allied Pacific (APC Medicare)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1.1000000000000001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0" t="s">
        <v>807</v>
      </c>
      <c r="K9" s="631"/>
      <c r="L9" s="631"/>
      <c r="M9" s="631"/>
      <c r="N9" s="632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3" t="s">
        <v>802</v>
      </c>
      <c r="T10" s="633"/>
      <c r="U10" s="633"/>
      <c r="V10" s="633"/>
      <c r="W10" s="633"/>
      <c r="Y10" s="633" t="s">
        <v>802</v>
      </c>
      <c r="Z10" s="633"/>
      <c r="AA10" s="633"/>
      <c r="AB10" s="633"/>
      <c r="AC10" s="633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129.55000000000001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127.00956481623867</v>
      </c>
      <c r="E14" s="392">
        <f t="shared" ca="1" si="0"/>
        <v>1.02</v>
      </c>
      <c r="F14" s="269">
        <f>VLOOKUP(MONTH(C14),PMPM!$A$112:$F$123,6)</f>
        <v>1</v>
      </c>
      <c r="G14" s="395">
        <f t="shared" ca="1" si="1"/>
        <v>1</v>
      </c>
      <c r="H14" s="54">
        <f t="shared" ca="1" si="9"/>
        <v>129.55000000000001</v>
      </c>
      <c r="I14" s="401">
        <f t="shared" ca="1" si="10"/>
        <v>1</v>
      </c>
      <c r="J14" s="401">
        <f t="shared" ca="1" si="11"/>
        <v>1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1</v>
      </c>
      <c r="R14" s="397">
        <f ca="1">IF(AND(H14&gt;0,SUM($R$12:R13)=0),1,0)</f>
        <v>1</v>
      </c>
      <c r="S14" s="397">
        <f ca="1">IF(AND($I14&gt;0,SUM(S$12:S13)&lt;6),1,0)</f>
        <v>1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1</v>
      </c>
      <c r="Y14" s="401">
        <f t="shared" ca="1" si="2"/>
        <v>8.4824100000000131E-3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5.9752899999999881E-3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132.5937408676709</v>
      </c>
      <c r="E15" s="392">
        <f t="shared" ca="1" si="0"/>
        <v>1.028</v>
      </c>
      <c r="F15" s="269">
        <f>VLOOKUP(MONTH(C15),PMPM!$A$112:$F$123,6)</f>
        <v>1</v>
      </c>
      <c r="G15" s="395">
        <f t="shared" ca="1" si="1"/>
        <v>1</v>
      </c>
      <c r="H15" s="54">
        <f t="shared" ca="1" si="9"/>
        <v>136.31</v>
      </c>
      <c r="I15" s="401">
        <f t="shared" ca="1" si="10"/>
        <v>1.0522</v>
      </c>
      <c r="J15" s="401">
        <f t="shared" ca="1" si="11"/>
        <v>1.0522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1.0522</v>
      </c>
      <c r="R15" s="397">
        <f ca="1">IF(AND(H15&gt;0,SUM($R$12:R14)=0),1,0)</f>
        <v>0</v>
      </c>
      <c r="S15" s="397">
        <f ca="1">IF(AND($I15&gt;0,SUM(S$12:S14)&lt;6),1,0)</f>
        <v>1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1</v>
      </c>
      <c r="Y15" s="401">
        <f t="shared" ca="1" si="2"/>
        <v>1.5920100000000037E-3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6.3000999999999498E-4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143.55464408573698</v>
      </c>
      <c r="E16" s="392">
        <f t="shared" ca="1" si="0"/>
        <v>1.036</v>
      </c>
      <c r="F16" s="269">
        <f>VLOOKUP(MONTH(C16),PMPM!$A$112:$F$123,6)</f>
        <v>1</v>
      </c>
      <c r="G16" s="395">
        <f t="shared" ca="1" si="1"/>
        <v>1</v>
      </c>
      <c r="H16" s="54">
        <f t="shared" ca="1" si="9"/>
        <v>148.72</v>
      </c>
      <c r="I16" s="401">
        <f t="shared" ca="1" si="10"/>
        <v>1.1479999999999999</v>
      </c>
      <c r="J16" s="401">
        <f t="shared" ca="1" si="11"/>
        <v>1.1479999999999999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1.1479999999999999</v>
      </c>
      <c r="R16" s="397">
        <f ca="1">IF(AND(H16&gt;0,SUM($R$12:R15)=0),1,0)</f>
        <v>0</v>
      </c>
      <c r="S16" s="397">
        <f ca="1">IF(AND($I16&gt;0,SUM(S$12:S15)&lt;6),1,0)</f>
        <v>1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1</v>
      </c>
      <c r="Y16" s="401">
        <f t="shared" ca="1" si="2"/>
        <v>3.1248099999999818E-3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4.9984899999999978E-3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149.11806151825849</v>
      </c>
      <c r="E17" s="392">
        <f t="shared" ca="1" si="0"/>
        <v>1.0449999999999999</v>
      </c>
      <c r="F17" s="269">
        <f>VLOOKUP(MONTH(C17),PMPM!$A$112:$F$123,6)</f>
        <v>1</v>
      </c>
      <c r="G17" s="395">
        <f t="shared" ca="1" si="1"/>
        <v>1</v>
      </c>
      <c r="H17" s="54">
        <f t="shared" ca="1" si="9"/>
        <v>155.83000000000001</v>
      </c>
      <c r="I17" s="401">
        <f t="shared" ca="1" si="10"/>
        <v>1.2029000000000001</v>
      </c>
      <c r="J17" s="401">
        <f t="shared" ca="1" si="11"/>
        <v>1.2029000000000001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1.2029000000000001</v>
      </c>
      <c r="R17" s="397">
        <f ca="1">IF(AND(H17&gt;0,SUM($R$12:R16)=0),1,0)</f>
        <v>0</v>
      </c>
      <c r="S17" s="397">
        <f ca="1">IF(AND($I17&gt;0,SUM(S$12:S16)&lt;6),1,0)</f>
        <v>1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1</v>
      </c>
      <c r="Y17" s="401">
        <f t="shared" ca="1" si="2"/>
        <v>1.2276640000000002E-2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1.577536000000004E-2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129.29934720211332</v>
      </c>
      <c r="E18" s="392">
        <f t="shared" ca="1" si="0"/>
        <v>1.0529999999999999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136.15</v>
      </c>
      <c r="I18" s="401">
        <f t="shared" ca="1" si="10"/>
        <v>1.0508999999999999</v>
      </c>
      <c r="J18" s="401">
        <f t="shared" ca="1" si="11"/>
        <v>1.0508999999999999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1.0508999999999999</v>
      </c>
      <c r="R18" s="397">
        <f ca="1">IF(AND(H18&gt;0,SUM($R$12:R17)=0),1,0)</f>
        <v>0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1.6974400000000103E-3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6.9695999999999886E-4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133.99423057285816</v>
      </c>
      <c r="E19" s="392">
        <f t="shared" ca="1" si="0"/>
        <v>1.0620000000000001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142.30000000000001</v>
      </c>
      <c r="I19" s="401">
        <f t="shared" ca="1" si="10"/>
        <v>1.0984</v>
      </c>
      <c r="J19" s="401">
        <f t="shared" ca="1" si="11"/>
        <v>1.0984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1.0984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3.9689999999999649E-5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4.4521000000000502E-4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123.03063866882034</v>
      </c>
      <c r="E20" s="392">
        <f t="shared" ca="1" si="0"/>
        <v>1.07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131.63999999999999</v>
      </c>
      <c r="I20" s="401">
        <f t="shared" ca="1" si="10"/>
        <v>1.0161</v>
      </c>
      <c r="J20" s="401">
        <f t="shared" ca="1" si="11"/>
        <v>0</v>
      </c>
      <c r="K20" s="401">
        <f t="shared" ca="1" si="12"/>
        <v>1.0161</v>
      </c>
      <c r="L20" s="401">
        <f t="shared" ca="1" si="13"/>
        <v>0</v>
      </c>
      <c r="M20" s="401">
        <f t="shared" ca="1" si="14"/>
        <v>0</v>
      </c>
      <c r="N20" s="401">
        <f t="shared" ca="1" si="15"/>
        <v>1.0161</v>
      </c>
      <c r="R20" s="397">
        <f ca="1">IF(AND(H20&gt;0,SUM($R$12:R19)=0),1,0)</f>
        <v>0</v>
      </c>
      <c r="S20" s="397">
        <f ca="1">IF(AND($I20&gt;0,SUM(S$12:S19)&lt;6),1,0)</f>
        <v>0</v>
      </c>
      <c r="T20" s="397">
        <f ca="1">IF(AND($I20&gt;0,SUM(S$12:S19)=6,SUM(T$12:T19)&lt;6),1,0)</f>
        <v>1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0</v>
      </c>
      <c r="Z20" s="401">
        <f t="shared" ca="1" si="3"/>
        <v>7.8961000000000081E-4</v>
      </c>
      <c r="AA20" s="401">
        <f t="shared" ca="1" si="4"/>
        <v>0</v>
      </c>
      <c r="AB20" s="401">
        <f t="shared" ca="1" si="5"/>
        <v>0</v>
      </c>
      <c r="AC20" s="401">
        <f t="shared" ca="1" si="6"/>
        <v>3.7454399999999905E-3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126.52959469531471</v>
      </c>
      <c r="E21" s="392">
        <f t="shared" ca="1" si="0"/>
        <v>1.079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136.53</v>
      </c>
      <c r="I21" s="401">
        <f t="shared" ca="1" si="10"/>
        <v>1.0539000000000001</v>
      </c>
      <c r="J21" s="401">
        <f t="shared" ca="1" si="11"/>
        <v>0</v>
      </c>
      <c r="K21" s="401">
        <f t="shared" ca="1" si="12"/>
        <v>1.0539000000000001</v>
      </c>
      <c r="L21" s="401">
        <f t="shared" ca="1" si="13"/>
        <v>0</v>
      </c>
      <c r="M21" s="401">
        <f t="shared" ca="1" si="14"/>
        <v>0</v>
      </c>
      <c r="N21" s="401">
        <f t="shared" ca="1" si="15"/>
        <v>1.0539000000000001</v>
      </c>
      <c r="R21" s="397">
        <f ca="1">IF(AND(H21&gt;0,SUM($R$12:R20)=0),1,0)</f>
        <v>0</v>
      </c>
      <c r="S21" s="397">
        <f ca="1">IF(AND($I21&gt;0,SUM(S$12:S20)&lt;6),1,0)</f>
        <v>0</v>
      </c>
      <c r="T21" s="397">
        <f ca="1">IF(AND($I21&gt;0,SUM(S$12:S20)=6,SUM(T$12:T20)&lt;6),1,0)</f>
        <v>1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0</v>
      </c>
      <c r="Z21" s="401">
        <f t="shared" ca="1" si="3"/>
        <v>9.4090000000000815E-5</v>
      </c>
      <c r="AA21" s="401">
        <f t="shared" ca="1" si="4"/>
        <v>0</v>
      </c>
      <c r="AB21" s="401">
        <f t="shared" ca="1" si="5"/>
        <v>0</v>
      </c>
      <c r="AC21" s="401">
        <f t="shared" ca="1" si="6"/>
        <v>5.4755999999999371E-4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124.33723938124062</v>
      </c>
      <c r="E22" s="392">
        <f t="shared" ca="1" si="0"/>
        <v>1.087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135.15</v>
      </c>
      <c r="I22" s="401">
        <f t="shared" ca="1" si="10"/>
        <v>1.0431999999999999</v>
      </c>
      <c r="J22" s="401">
        <f t="shared" ca="1" si="11"/>
        <v>0</v>
      </c>
      <c r="K22" s="401">
        <f t="shared" ca="1" si="12"/>
        <v>1.0431999999999999</v>
      </c>
      <c r="L22" s="401">
        <f t="shared" ca="1" si="13"/>
        <v>0</v>
      </c>
      <c r="M22" s="401">
        <f t="shared" ca="1" si="14"/>
        <v>0</v>
      </c>
      <c r="N22" s="401">
        <f t="shared" ca="1" si="15"/>
        <v>1.0431999999999999</v>
      </c>
      <c r="R22" s="397">
        <f ca="1">IF(AND(H22&gt;0,SUM($R$12:R21)=0),1,0)</f>
        <v>0</v>
      </c>
      <c r="S22" s="397">
        <f ca="1">IF(AND($I22&gt;0,SUM(S$12:S21)&lt;6),1,0)</f>
        <v>0</v>
      </c>
      <c r="T22" s="397">
        <f ca="1">IF(AND($I22&gt;0,SUM(S$12:S21)=6,SUM(T$12:T21)&lt;6),1,0)</f>
        <v>1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0</v>
      </c>
      <c r="Z22" s="401">
        <f t="shared" ca="1" si="3"/>
        <v>1.0000000000002238E-6</v>
      </c>
      <c r="AA22" s="401">
        <f t="shared" ca="1" si="4"/>
        <v>0</v>
      </c>
      <c r="AB22" s="401">
        <f t="shared" ca="1" si="5"/>
        <v>0</v>
      </c>
      <c r="AC22" s="401">
        <f t="shared" ca="1" si="6"/>
        <v>1.1628100000000013E-3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118.6059679653001</v>
      </c>
      <c r="E23" s="392">
        <f t="shared" ca="1" si="0"/>
        <v>1.0960000000000001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129.99</v>
      </c>
      <c r="I23" s="401">
        <f t="shared" ca="1" si="10"/>
        <v>1.0034000000000001</v>
      </c>
      <c r="J23" s="401">
        <f t="shared" ca="1" si="11"/>
        <v>0</v>
      </c>
      <c r="K23" s="401">
        <f t="shared" ca="1" si="12"/>
        <v>1.0034000000000001</v>
      </c>
      <c r="L23" s="401">
        <f t="shared" ca="1" si="13"/>
        <v>0</v>
      </c>
      <c r="M23" s="401">
        <f t="shared" ca="1" si="14"/>
        <v>0</v>
      </c>
      <c r="N23" s="401">
        <f t="shared" ca="1" si="15"/>
        <v>1.0034000000000001</v>
      </c>
      <c r="R23" s="397">
        <f ca="1">IF(AND(H23&gt;0,SUM($R$12:R22)=0),1,0)</f>
        <v>0</v>
      </c>
      <c r="S23" s="397">
        <f ca="1">IF(AND($I23&gt;0,SUM(S$12:S22)&lt;6),1,0)</f>
        <v>0</v>
      </c>
      <c r="T23" s="397">
        <f ca="1">IF(AND($I23&gt;0,SUM(S$12:S22)=6,SUM(T$12:T22)&lt;6),1,0)</f>
        <v>1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0</v>
      </c>
      <c r="Z23" s="401">
        <f t="shared" ca="1" si="3"/>
        <v>1.6646399999999957E-3</v>
      </c>
      <c r="AA23" s="401">
        <f t="shared" ca="1" si="4"/>
        <v>0</v>
      </c>
      <c r="AB23" s="401">
        <f t="shared" ca="1" si="5"/>
        <v>0</v>
      </c>
      <c r="AC23" s="401">
        <f t="shared" ca="1" si="6"/>
        <v>5.4612099999999785E-3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133.5639877149807</v>
      </c>
      <c r="E24" s="392">
        <f t="shared" si="0"/>
        <v>1.105</v>
      </c>
      <c r="F24" s="269">
        <f>VLOOKUP(MONTH(C24),PMPM!$A$112:$F$123,6)</f>
        <v>1</v>
      </c>
      <c r="G24" s="395">
        <f t="shared" si="1"/>
        <v>1</v>
      </c>
      <c r="H24" s="54">
        <f t="shared" si="9"/>
        <v>147.59</v>
      </c>
      <c r="I24" s="401">
        <f t="shared" ca="1" si="10"/>
        <v>1.1393</v>
      </c>
      <c r="J24" s="401">
        <f t="shared" ca="1" si="11"/>
        <v>0</v>
      </c>
      <c r="K24" s="401">
        <f t="shared" ca="1" si="12"/>
        <v>1.1393</v>
      </c>
      <c r="L24" s="401">
        <f t="shared" ca="1" si="13"/>
        <v>0</v>
      </c>
      <c r="M24" s="401">
        <f t="shared" ca="1" si="14"/>
        <v>0</v>
      </c>
      <c r="N24" s="401">
        <f t="shared" ca="1" si="15"/>
        <v>1.1393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9.044009999999993E-3</v>
      </c>
      <c r="AA24" s="401">
        <f t="shared" ca="1" si="4"/>
        <v>0</v>
      </c>
      <c r="AB24" s="401">
        <f t="shared" ca="1" si="5"/>
        <v>0</v>
      </c>
      <c r="AC24" s="401">
        <f t="shared" ca="1" si="6"/>
        <v>3.8440000000000067E-3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117.47706354236719</v>
      </c>
      <c r="E25" s="392">
        <f t="shared" si="0"/>
        <v>1.113</v>
      </c>
      <c r="F25" s="269">
        <f>VLOOKUP(MONTH(C25),PMPM!$A$112:$F$123,6)</f>
        <v>1</v>
      </c>
      <c r="G25" s="395">
        <f t="shared" si="1"/>
        <v>1</v>
      </c>
      <c r="H25" s="54">
        <f t="shared" si="9"/>
        <v>130.75</v>
      </c>
      <c r="I25" s="401">
        <f t="shared" ca="1" si="10"/>
        <v>1.0093000000000001</v>
      </c>
      <c r="J25" s="401">
        <f t="shared" ca="1" si="11"/>
        <v>0</v>
      </c>
      <c r="K25" s="401">
        <f t="shared" ca="1" si="12"/>
        <v>1.0093000000000001</v>
      </c>
      <c r="L25" s="401">
        <f t="shared" ca="1" si="13"/>
        <v>0</v>
      </c>
      <c r="M25" s="401">
        <f t="shared" ca="1" si="14"/>
        <v>0</v>
      </c>
      <c r="N25" s="401">
        <f t="shared" ca="1" si="15"/>
        <v>1.0093000000000001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1.2180099999999953E-3</v>
      </c>
      <c r="AA25" s="401">
        <f t="shared" ca="1" si="4"/>
        <v>0</v>
      </c>
      <c r="AB25" s="401">
        <f t="shared" ca="1" si="5"/>
        <v>0</v>
      </c>
      <c r="AC25" s="401">
        <f t="shared" ca="1" si="6"/>
        <v>4.623999999999978E-3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116.01377592746509</v>
      </c>
      <c r="E26" s="392">
        <f t="shared" si="0"/>
        <v>1.1220000000000001</v>
      </c>
      <c r="F26" s="269">
        <f>VLOOKUP(MONTH(C26),PMPM!$A$112:$F$123,6)</f>
        <v>1</v>
      </c>
      <c r="G26" s="395">
        <f t="shared" si="1"/>
        <v>1</v>
      </c>
      <c r="H26" s="54">
        <f t="shared" si="9"/>
        <v>130.16999999999999</v>
      </c>
      <c r="I26" s="401">
        <f t="shared" ca="1" si="10"/>
        <v>1.0047999999999999</v>
      </c>
      <c r="J26" s="401">
        <f t="shared" ca="1" si="11"/>
        <v>0</v>
      </c>
      <c r="K26" s="401">
        <f t="shared" ca="1" si="12"/>
        <v>0</v>
      </c>
      <c r="L26" s="401">
        <f t="shared" ca="1" si="13"/>
        <v>1.0047999999999999</v>
      </c>
      <c r="M26" s="401">
        <f t="shared" ca="1" si="14"/>
        <v>0</v>
      </c>
      <c r="N26" s="401">
        <f t="shared" ca="1" si="15"/>
        <v>1.0047999999999999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0</v>
      </c>
      <c r="U26" s="397">
        <f ca="1">IF(AND($I26&gt;0,SUM(T$12:T25)=6,SUM(U$12:U25)&lt;6),1,0)</f>
        <v>1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0</v>
      </c>
      <c r="AA26" s="401">
        <f t="shared" ca="1" si="4"/>
        <v>6.6422500000000205E-3</v>
      </c>
      <c r="AB26" s="401">
        <f t="shared" ca="1" si="5"/>
        <v>0</v>
      </c>
      <c r="AC26" s="401">
        <f t="shared" ca="1" si="6"/>
        <v>5.2562500000000014E-3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119.87264833936263</v>
      </c>
      <c r="E27" s="392">
        <f t="shared" si="0"/>
        <v>1.131</v>
      </c>
      <c r="F27" s="269">
        <f>VLOOKUP(MONTH(C27),PMPM!$A$112:$F$123,6)</f>
        <v>1</v>
      </c>
      <c r="G27" s="395">
        <f t="shared" si="1"/>
        <v>1</v>
      </c>
      <c r="H27" s="54">
        <f t="shared" si="9"/>
        <v>135.58000000000001</v>
      </c>
      <c r="I27" s="401">
        <f t="shared" ca="1" si="10"/>
        <v>1.0465</v>
      </c>
      <c r="J27" s="401">
        <f t="shared" ca="1" si="11"/>
        <v>0</v>
      </c>
      <c r="K27" s="401">
        <f t="shared" ca="1" si="12"/>
        <v>0</v>
      </c>
      <c r="L27" s="401">
        <f t="shared" ca="1" si="13"/>
        <v>1.0465</v>
      </c>
      <c r="M27" s="401">
        <f t="shared" ca="1" si="14"/>
        <v>0</v>
      </c>
      <c r="N27" s="401">
        <f t="shared" ca="1" si="15"/>
        <v>1.0465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0</v>
      </c>
      <c r="U27" s="397">
        <f ca="1">IF(AND($I27&gt;0,SUM(T$12:T26)=6,SUM(U$12:U26)&lt;6),1,0)</f>
        <v>1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0</v>
      </c>
      <c r="AA27" s="401">
        <f t="shared" ca="1" si="4"/>
        <v>1.5840400000000047E-3</v>
      </c>
      <c r="AB27" s="401">
        <f t="shared" ca="1" si="5"/>
        <v>0</v>
      </c>
      <c r="AC27" s="401">
        <f t="shared" ca="1" si="6"/>
        <v>9.4863999999999626E-4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119.53416202431487</v>
      </c>
      <c r="E28" s="392">
        <f t="shared" si="0"/>
        <v>1.1399999999999999</v>
      </c>
      <c r="F28" s="269">
        <f>VLOOKUP(MONTH(C28),PMPM!$A$112:$F$123,6)</f>
        <v>1</v>
      </c>
      <c r="G28" s="395">
        <f t="shared" si="1"/>
        <v>1</v>
      </c>
      <c r="H28" s="54">
        <f t="shared" si="9"/>
        <v>136.27000000000001</v>
      </c>
      <c r="I28" s="401">
        <f t="shared" ca="1" si="10"/>
        <v>1.0519000000000001</v>
      </c>
      <c r="J28" s="401">
        <f t="shared" ca="1" si="11"/>
        <v>0</v>
      </c>
      <c r="K28" s="401">
        <f t="shared" ref="K28:K47" ca="1" si="17">$I28*T28</f>
        <v>0</v>
      </c>
      <c r="L28" s="401">
        <f t="shared" ref="L28:L47" ca="1" si="18">$I28*U28</f>
        <v>1.0519000000000001</v>
      </c>
      <c r="M28" s="401">
        <f t="shared" ref="M28:M47" ca="1" si="19">$I28*V28</f>
        <v>0</v>
      </c>
      <c r="N28" s="401">
        <f t="shared" ca="1" si="15"/>
        <v>1.0519000000000001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0</v>
      </c>
      <c r="U28" s="397">
        <f ca="1">IF(AND($I28&gt;0,SUM(T$12:T27)=6,SUM(U$12:U27)&lt;6),1,0)</f>
        <v>1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0</v>
      </c>
      <c r="AA28" s="401">
        <f t="shared" ca="1" si="4"/>
        <v>1.183359999999999E-3</v>
      </c>
      <c r="AB28" s="401">
        <f t="shared" ca="1" si="5"/>
        <v>0</v>
      </c>
      <c r="AC28" s="401">
        <f t="shared" ca="1" si="6"/>
        <v>6.4515999999999326E-4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127.23851035141863</v>
      </c>
      <c r="E29" s="392">
        <f t="shared" si="0"/>
        <v>1.149</v>
      </c>
      <c r="F29" s="269">
        <f>VLOOKUP(MONTH(C29),PMPM!$A$112:$F$123,6)</f>
        <v>1</v>
      </c>
      <c r="G29" s="395">
        <f t="shared" si="1"/>
        <v>1</v>
      </c>
      <c r="H29" s="54">
        <f t="shared" si="9"/>
        <v>146.19999999999999</v>
      </c>
      <c r="I29" s="401">
        <f t="shared" ca="1" si="10"/>
        <v>1.1285000000000001</v>
      </c>
      <c r="J29" s="401">
        <f t="shared" ca="1" si="11"/>
        <v>0</v>
      </c>
      <c r="K29" s="401">
        <f t="shared" ca="1" si="17"/>
        <v>0</v>
      </c>
      <c r="L29" s="401">
        <f t="shared" ca="1" si="18"/>
        <v>1.1285000000000001</v>
      </c>
      <c r="M29" s="401">
        <f t="shared" ca="1" si="19"/>
        <v>0</v>
      </c>
      <c r="N29" s="401">
        <f t="shared" ca="1" si="15"/>
        <v>1.1285000000000001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0</v>
      </c>
      <c r="U29" s="397">
        <f ca="1">IF(AND($I29&gt;0,SUM(T$12:T28)=6,SUM(U$12:U28)&lt;6),1,0)</f>
        <v>1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0</v>
      </c>
      <c r="AA29" s="401">
        <f t="shared" ca="1" si="4"/>
        <v>1.7808400000000012E-3</v>
      </c>
      <c r="AB29" s="401">
        <f t="shared" ca="1" si="5"/>
        <v>0</v>
      </c>
      <c r="AC29" s="401">
        <f t="shared" ca="1" si="6"/>
        <v>2.6214400000000139E-3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125.48836903657812</v>
      </c>
      <c r="E30" s="392">
        <f t="shared" si="0"/>
        <v>1.1579999999999999</v>
      </c>
      <c r="F30" s="269">
        <f>VLOOKUP(MONTH(C30),PMPM!$A$112:$F$123,6)</f>
        <v>1</v>
      </c>
      <c r="G30" s="395">
        <f t="shared" si="1"/>
        <v>1</v>
      </c>
      <c r="H30" s="54">
        <f t="shared" si="9"/>
        <v>145.32</v>
      </c>
      <c r="I30" s="401">
        <f t="shared" ca="1" si="10"/>
        <v>1.1216999999999999</v>
      </c>
      <c r="J30" s="401">
        <f t="shared" ca="1" si="11"/>
        <v>0</v>
      </c>
      <c r="K30" s="401">
        <f t="shared" ca="1" si="17"/>
        <v>0</v>
      </c>
      <c r="L30" s="401">
        <f t="shared" ca="1" si="18"/>
        <v>1.1216999999999999</v>
      </c>
      <c r="M30" s="401">
        <f t="shared" ca="1" si="19"/>
        <v>0</v>
      </c>
      <c r="N30" s="401">
        <f t="shared" ca="1" si="15"/>
        <v>1.1216999999999999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1.2531599999999912E-3</v>
      </c>
      <c r="AB30" s="401">
        <f t="shared" ca="1" si="5"/>
        <v>0</v>
      </c>
      <c r="AC30" s="401">
        <f t="shared" ca="1" si="6"/>
        <v>1.9713599999999997E-3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129.16391567246009</v>
      </c>
      <c r="E31" s="392">
        <f t="shared" si="0"/>
        <v>1.1679999999999999</v>
      </c>
      <c r="F31" s="269">
        <f>VLOOKUP(MONTH(C31),PMPM!$A$112:$F$123,6)</f>
        <v>1</v>
      </c>
      <c r="G31" s="395">
        <f t="shared" si="1"/>
        <v>1</v>
      </c>
      <c r="H31" s="54">
        <f t="shared" si="9"/>
        <v>150.86000000000001</v>
      </c>
      <c r="I31" s="401">
        <f t="shared" ca="1" si="10"/>
        <v>1.1645000000000001</v>
      </c>
      <c r="J31" s="401">
        <f t="shared" ca="1" si="11"/>
        <v>0</v>
      </c>
      <c r="K31" s="401">
        <f t="shared" ca="1" si="17"/>
        <v>0</v>
      </c>
      <c r="L31" s="401">
        <f t="shared" ca="1" si="18"/>
        <v>1.1645000000000001</v>
      </c>
      <c r="M31" s="401">
        <f t="shared" ca="1" si="19"/>
        <v>0</v>
      </c>
      <c r="N31" s="401">
        <f t="shared" ca="1" si="15"/>
        <v>1.1645000000000001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6.115240000000007E-3</v>
      </c>
      <c r="AB31" s="401">
        <f t="shared" ca="1" si="5"/>
        <v>0</v>
      </c>
      <c r="AC31" s="401">
        <f t="shared" ca="1" si="6"/>
        <v>7.6038400000000292E-3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114.10729288341315</v>
      </c>
      <c r="E32" s="392">
        <f t="shared" si="0"/>
        <v>1.177</v>
      </c>
      <c r="F32" s="269">
        <f>VLOOKUP(MONTH(C32),PMPM!$A$112:$F$123,6)</f>
        <v>1</v>
      </c>
      <c r="G32" s="395">
        <f t="shared" si="1"/>
        <v>1</v>
      </c>
      <c r="H32" s="54">
        <f t="shared" si="9"/>
        <v>134.30000000000001</v>
      </c>
      <c r="I32" s="401">
        <f t="shared" ca="1" si="10"/>
        <v>1.0367</v>
      </c>
      <c r="J32" s="401">
        <f t="shared" ca="1" si="11"/>
        <v>0</v>
      </c>
      <c r="K32" s="401">
        <f t="shared" ca="1" si="17"/>
        <v>0</v>
      </c>
      <c r="L32" s="401">
        <f t="shared" ca="1" si="18"/>
        <v>0</v>
      </c>
      <c r="M32" s="401">
        <f t="shared" ca="1" si="19"/>
        <v>1.0367</v>
      </c>
      <c r="N32" s="401">
        <f t="shared" ca="1" si="15"/>
        <v>1.0367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0</v>
      </c>
      <c r="V32" s="397">
        <f ca="1">IF(AND($I32&gt;0,SUM(U$12:U31)=6,SUM(V$12:V31)&lt;6),1,0)</f>
        <v>1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0</v>
      </c>
      <c r="AB32" s="401">
        <f t="shared" ca="1" si="5"/>
        <v>1.08241000000001E-3</v>
      </c>
      <c r="AC32" s="401">
        <f t="shared" ca="1" si="6"/>
        <v>1.6483599999999976E-3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118.30206184091573</v>
      </c>
      <c r="E33" s="392">
        <f t="shared" si="0"/>
        <v>1.1870000000000001</v>
      </c>
      <c r="F33" s="269">
        <f>VLOOKUP(MONTH(C33),PMPM!$A$112:$F$123,6)</f>
        <v>1</v>
      </c>
      <c r="G33" s="395">
        <f t="shared" si="1"/>
        <v>1</v>
      </c>
      <c r="H33" s="54">
        <f t="shared" si="9"/>
        <v>140.41999999999999</v>
      </c>
      <c r="I33" s="401">
        <f t="shared" ca="1" si="10"/>
        <v>1.0839000000000001</v>
      </c>
      <c r="J33" s="401">
        <f t="shared" ca="1" si="11"/>
        <v>0</v>
      </c>
      <c r="K33" s="401">
        <f t="shared" ca="1" si="17"/>
        <v>0</v>
      </c>
      <c r="L33" s="401">
        <f t="shared" ca="1" si="18"/>
        <v>0</v>
      </c>
      <c r="M33" s="401">
        <f t="shared" ca="1" si="19"/>
        <v>1.0839000000000001</v>
      </c>
      <c r="N33" s="401">
        <f t="shared" ca="1" si="15"/>
        <v>1.0839000000000001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0</v>
      </c>
      <c r="V33" s="397">
        <f ca="1">IF(AND($I33&gt;0,SUM(U$12:U32)=6,SUM(V$12:V32)&lt;6),1,0)</f>
        <v>1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0</v>
      </c>
      <c r="AB33" s="401">
        <f t="shared" ca="1" si="5"/>
        <v>2.0448999999999942E-4</v>
      </c>
      <c r="AC33" s="401">
        <f t="shared" ca="1" si="6"/>
        <v>4.3560000000002131E-5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115.66601498146562</v>
      </c>
      <c r="E34" s="392">
        <f t="shared" si="0"/>
        <v>1.196</v>
      </c>
      <c r="F34" s="269">
        <f>VLOOKUP(MONTH(C34),PMPM!$A$112:$F$123,6)</f>
        <v>1</v>
      </c>
      <c r="G34" s="395">
        <f t="shared" si="1"/>
        <v>1</v>
      </c>
      <c r="H34" s="54">
        <f t="shared" si="9"/>
        <v>138.34</v>
      </c>
      <c r="I34" s="401">
        <f t="shared" ca="1" si="10"/>
        <v>1.0679000000000001</v>
      </c>
      <c r="J34" s="401">
        <f t="shared" ca="1" si="11"/>
        <v>0</v>
      </c>
      <c r="K34" s="401">
        <f t="shared" ca="1" si="17"/>
        <v>0</v>
      </c>
      <c r="L34" s="401">
        <f t="shared" ca="1" si="18"/>
        <v>0</v>
      </c>
      <c r="M34" s="401">
        <f t="shared" ca="1" si="19"/>
        <v>1.0679000000000001</v>
      </c>
      <c r="N34" s="401">
        <f t="shared" ca="1" si="15"/>
        <v>1.0679000000000001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0</v>
      </c>
      <c r="V34" s="397">
        <f ca="1">IF(AND($I34&gt;0,SUM(U$12:U33)=6,SUM(V$12:V33)&lt;6),1,0)</f>
        <v>1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0</v>
      </c>
      <c r="AB34" s="401">
        <f t="shared" ca="1" si="5"/>
        <v>2.8900000000001184E-6</v>
      </c>
      <c r="AC34" s="401">
        <f t="shared" ca="1" si="6"/>
        <v>8.8359999999997236E-5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113.56621836616137</v>
      </c>
      <c r="E35" s="392">
        <f t="shared" si="0"/>
        <v>1.206</v>
      </c>
      <c r="F35" s="269">
        <f>VLOOKUP(MONTH(C35),PMPM!$A$112:$F$123,6)</f>
        <v>1</v>
      </c>
      <c r="G35" s="395">
        <f t="shared" si="1"/>
        <v>1</v>
      </c>
      <c r="H35" s="54">
        <f t="shared" si="9"/>
        <v>136.96</v>
      </c>
      <c r="I35" s="401">
        <f t="shared" ca="1" si="10"/>
        <v>1.0571999999999999</v>
      </c>
      <c r="J35" s="401">
        <f t="shared" ca="1" si="11"/>
        <v>0</v>
      </c>
      <c r="K35" s="401">
        <f t="shared" ca="1" si="17"/>
        <v>0</v>
      </c>
      <c r="L35" s="401">
        <f t="shared" ca="1" si="18"/>
        <v>0</v>
      </c>
      <c r="M35" s="401">
        <f t="shared" ca="1" si="19"/>
        <v>1.0571999999999999</v>
      </c>
      <c r="N35" s="401">
        <f t="shared" ca="1" si="15"/>
        <v>1.0571999999999999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0</v>
      </c>
      <c r="V35" s="397">
        <f ca="1">IF(AND($I35&gt;0,SUM(U$12:U34)=6,SUM(V$12:V34)&lt;6),1,0)</f>
        <v>1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0</v>
      </c>
      <c r="AB35" s="401">
        <f t="shared" ca="1" si="5"/>
        <v>1.5376000000000468E-4</v>
      </c>
      <c r="AC35" s="401">
        <f t="shared" ca="1" si="6"/>
        <v>4.0401000000000027E-4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124.49229284762997</v>
      </c>
      <c r="E36" s="392">
        <f t="shared" si="0"/>
        <v>1.2150000000000001</v>
      </c>
      <c r="F36" s="269">
        <f>VLOOKUP(MONTH(C36),PMPM!$A$112:$F$123,6)</f>
        <v>1</v>
      </c>
      <c r="G36" s="395">
        <f t="shared" si="1"/>
        <v>1</v>
      </c>
      <c r="H36" s="54">
        <f t="shared" si="9"/>
        <v>151.26</v>
      </c>
      <c r="I36" s="401">
        <f t="shared" ca="1" si="10"/>
        <v>1.1676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1.1676</v>
      </c>
      <c r="N36" s="401">
        <f t="shared" ca="1" si="15"/>
        <v>1.1676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9.6039999999999737E-3</v>
      </c>
      <c r="AC36" s="401">
        <f t="shared" ca="1" si="6"/>
        <v>8.1540900000000079E-3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106.26468310460019</v>
      </c>
      <c r="E37" s="392">
        <f t="shared" si="0"/>
        <v>1.224</v>
      </c>
      <c r="F37" s="269">
        <f>VLOOKUP(MONTH(C37),PMPM!$A$112:$F$123,6)</f>
        <v>1</v>
      </c>
      <c r="G37" s="395">
        <f t="shared" si="1"/>
        <v>1</v>
      </c>
      <c r="H37" s="54">
        <f t="shared" si="9"/>
        <v>130.07</v>
      </c>
      <c r="I37" s="401">
        <f t="shared" ca="1" si="10"/>
        <v>1.004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1.004</v>
      </c>
      <c r="N37" s="401">
        <f t="shared" ca="1" si="15"/>
        <v>1.004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4.3033600000000139E-3</v>
      </c>
      <c r="AC37" s="401">
        <f t="shared" ca="1" si="6"/>
        <v>5.3728899999999887E-3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102.7346430156375</v>
      </c>
      <c r="E38" s="392">
        <f t="shared" si="0"/>
        <v>1.234</v>
      </c>
      <c r="F38" s="269">
        <f>VLOOKUP(MONTH(C38),PMPM!$A$112:$F$123,6)</f>
        <v>1</v>
      </c>
      <c r="G38" s="395">
        <f t="shared" si="1"/>
        <v>1</v>
      </c>
      <c r="H38" s="54">
        <f t="shared" si="9"/>
        <v>126.77</v>
      </c>
      <c r="I38" s="401">
        <f t="shared" ca="1" si="10"/>
        <v>0.97850000000000004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</v>
      </c>
      <c r="N38" s="401">
        <f t="shared" ca="1" si="15"/>
        <v>0.97850000000000004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0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0</v>
      </c>
      <c r="AC38" s="401">
        <f t="shared" ca="1" si="6"/>
        <v>9.7614399999999771E-3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113.25598207637394</v>
      </c>
      <c r="E39" s="392">
        <f t="shared" si="0"/>
        <v>1.244</v>
      </c>
      <c r="F39" s="269">
        <f>VLOOKUP(MONTH(C39),PMPM!$A$112:$F$123,6)</f>
        <v>1</v>
      </c>
      <c r="G39" s="395">
        <f t="shared" si="1"/>
        <v>1</v>
      </c>
      <c r="H39" s="54">
        <f t="shared" si="9"/>
        <v>140.88999999999999</v>
      </c>
      <c r="I39" s="401">
        <f t="shared" ca="1" si="10"/>
        <v>1.0874999999999999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</v>
      </c>
      <c r="N39" s="401">
        <f t="shared" ca="1" si="15"/>
        <v>1.0874999999999999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0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0</v>
      </c>
      <c r="AC39" s="401">
        <f t="shared" ca="1" si="6"/>
        <v>1.0403999999999973E-4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115.59056958502657</v>
      </c>
      <c r="E40" s="392">
        <f t="shared" si="0"/>
        <v>1.254</v>
      </c>
      <c r="F40" s="269">
        <f>VLOOKUP(MONTH(C40),PMPM!$A$112:$F$123,6)</f>
        <v>1</v>
      </c>
      <c r="G40" s="395">
        <f t="shared" si="1"/>
        <v>1</v>
      </c>
      <c r="H40" s="54">
        <f t="shared" si="9"/>
        <v>144.94999999999999</v>
      </c>
      <c r="I40" s="401">
        <f t="shared" ca="1" si="10"/>
        <v>1.1189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0</v>
      </c>
      <c r="N40" s="401">
        <f t="shared" ca="1" si="15"/>
        <v>1.1189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0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0</v>
      </c>
      <c r="AC40" s="401">
        <f t="shared" ca="1" si="6"/>
        <v>1.7305600000000068E-3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120.89931746925885</v>
      </c>
      <c r="E41" s="392">
        <f t="shared" si="0"/>
        <v>1.264</v>
      </c>
      <c r="F41" s="269">
        <f>VLOOKUP(MONTH(C41),PMPM!$A$112:$F$123,6)</f>
        <v>1</v>
      </c>
      <c r="G41" s="395">
        <f t="shared" si="1"/>
        <v>1</v>
      </c>
      <c r="H41" s="54">
        <f t="shared" si="9"/>
        <v>152.82</v>
      </c>
      <c r="I41" s="401">
        <f t="shared" ca="1" si="10"/>
        <v>1.1796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</v>
      </c>
      <c r="N41" s="401">
        <f t="shared" ca="1" si="15"/>
        <v>1.1796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0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0</v>
      </c>
      <c r="AC41" s="401">
        <f t="shared" ca="1" si="6"/>
        <v>1.0465290000000012E-2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117.72995171430985</v>
      </c>
      <c r="E42" s="392">
        <f t="shared" si="0"/>
        <v>1.274</v>
      </c>
      <c r="F42" s="269">
        <f>VLOOKUP(MONTH(C42),PMPM!$A$112:$F$123,6)</f>
        <v>1</v>
      </c>
      <c r="G42" s="395">
        <f t="shared" si="1"/>
        <v>1</v>
      </c>
      <c r="H42" s="54">
        <f t="shared" si="9"/>
        <v>149.99</v>
      </c>
      <c r="I42" s="401">
        <f t="shared" ca="1" si="10"/>
        <v>1.1577999999999999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1.1577999999999999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6.4802500000000025E-3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114.76950676537243</v>
      </c>
      <c r="E43" s="392">
        <f t="shared" si="0"/>
        <v>1.2849999999999999</v>
      </c>
      <c r="F43" s="269">
        <f>VLOOKUP(MONTH(C43),PMPM!$A$112:$F$123,6)</f>
        <v>1</v>
      </c>
      <c r="G43" s="395">
        <f t="shared" si="1"/>
        <v>1</v>
      </c>
      <c r="H43" s="54">
        <f t="shared" si="9"/>
        <v>147.47999999999999</v>
      </c>
      <c r="I43" s="401">
        <f t="shared" ca="1" si="10"/>
        <v>1.1384000000000001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1.1384000000000001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3.7332100000000189E-3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108.29673471066521</v>
      </c>
      <c r="E44" s="392">
        <f t="shared" si="0"/>
        <v>1.2949999999999999</v>
      </c>
      <c r="F44" s="269">
        <f>VLOOKUP(MONTH(C44),PMPM!$A$112:$F$123,6)</f>
        <v>1</v>
      </c>
      <c r="G44" s="395">
        <f t="shared" si="1"/>
        <v>1</v>
      </c>
      <c r="H44" s="54">
        <f t="shared" si="9"/>
        <v>140.24</v>
      </c>
      <c r="I44" s="401">
        <f t="shared" ca="1" si="10"/>
        <v>1.0825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1.0825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2.7040000000000971E-5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107.90997929051117</v>
      </c>
      <c r="E45" s="392">
        <f t="shared" si="0"/>
        <v>1.3049999999999999</v>
      </c>
      <c r="F45" s="269">
        <f>VLOOKUP(MONTH(C45),PMPM!$A$112:$F$123,6)</f>
        <v>1</v>
      </c>
      <c r="G45" s="395">
        <f t="shared" si="1"/>
        <v>1</v>
      </c>
      <c r="H45" s="54">
        <f t="shared" si="9"/>
        <v>140.82</v>
      </c>
      <c r="I45" s="401">
        <f t="shared" ca="1" si="10"/>
        <v>1.087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1.087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9.4090000000000815E-5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99.675216059479581</v>
      </c>
      <c r="E46" s="392">
        <f t="shared" si="0"/>
        <v>1.3160000000000001</v>
      </c>
      <c r="F46" s="269">
        <f>VLOOKUP(MONTH(C46),PMPM!$A$112:$F$123,6)</f>
        <v>1</v>
      </c>
      <c r="G46" s="395">
        <f t="shared" si="1"/>
        <v>1</v>
      </c>
      <c r="H46" s="54">
        <f t="shared" si="9"/>
        <v>131.16999999999999</v>
      </c>
      <c r="I46" s="401">
        <f t="shared" ca="1" si="10"/>
        <v>1.0125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1.0125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4.1990399999999959E-3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100.89458698895866</v>
      </c>
      <c r="E47" s="392">
        <f t="shared" si="0"/>
        <v>1.3260000000000001</v>
      </c>
      <c r="F47" s="269">
        <f>VLOOKUP(MONTH(C47),PMPM!$A$112:$F$123,6)</f>
        <v>1</v>
      </c>
      <c r="G47" s="395">
        <f t="shared" si="1"/>
        <v>1</v>
      </c>
      <c r="H47" s="54">
        <f t="shared" si="9"/>
        <v>133.79</v>
      </c>
      <c r="I47" s="401">
        <f t="shared" ca="1" si="10"/>
        <v>1.0327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1.0327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1.9891599999999976E-3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1.0921000000000001</v>
      </c>
      <c r="K49" s="402">
        <f ca="1">ROUND(SUM(K12:K47)/T49,4)</f>
        <v>1.0442</v>
      </c>
      <c r="L49" s="402">
        <f ca="1">ROUND(SUM(L12:L47)/U49,4)</f>
        <v>1.0863</v>
      </c>
      <c r="M49" s="402">
        <f ca="1">ROUND(SUM(M12:M47)/V49,4)</f>
        <v>1.0696000000000001</v>
      </c>
      <c r="N49" s="402">
        <f ca="1">ROUND(SUM(N12:N47)/W49,4)</f>
        <v>1.0772999999999999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34</v>
      </c>
      <c r="X49" s="400" t="s">
        <v>208</v>
      </c>
      <c r="Y49" s="403">
        <f ca="1">ROUND(SUM(Y12:Y48)/S49,4)</f>
        <v>4.4999999999999997E-3</v>
      </c>
      <c r="Z49" s="403">
        <f ca="1">ROUND(SUM(Z12:Z48)/T49,4)</f>
        <v>2.0999999999999999E-3</v>
      </c>
      <c r="AA49" s="403">
        <f ca="1">ROUND(SUM(AA12:AA48)/U49,4)</f>
        <v>3.0999999999999999E-3</v>
      </c>
      <c r="AB49" s="403">
        <f ca="1">ROUND(SUM(AB12:AB48)/V49,4)</f>
        <v>2.5999999999999999E-3</v>
      </c>
      <c r="AC49" s="404">
        <f ca="1">ROUND(SUM(AC12:AC48)/W49,4)</f>
        <v>3.5999999999999999E-3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6.7082039324993695E-2</v>
      </c>
      <c r="K50" s="415">
        <f ca="1">SQRT(Z49)</f>
        <v>4.5825756949558399E-2</v>
      </c>
      <c r="L50" s="415">
        <f ca="1">SQRT(AA49)</f>
        <v>5.5677643628300216E-2</v>
      </c>
      <c r="M50" s="415">
        <f ca="1">SQRT(AB49)</f>
        <v>5.0990195135927847E-2</v>
      </c>
      <c r="N50" s="415">
        <f ca="1">SQRT(AC49)</f>
        <v>0.06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5.6000000000000001E-2</v>
      </c>
      <c r="I53" s="416" t="s">
        <v>817</v>
      </c>
      <c r="J53" s="417"/>
      <c r="K53" s="420">
        <f ca="1">(G56=1)*G53/2+((G56=2)+(G56=3))*G53+(G56=4)*G53*2</f>
        <v>5.6000000000000001E-2</v>
      </c>
      <c r="L53" s="421" t="s">
        <v>815</v>
      </c>
      <c r="M53" s="422">
        <f ca="1">-(((G56=1)+(G56=2))*G53/2+((G56=3)+(G56=4))*G53)</f>
        <v>-2.8000000000000001E-2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D29" sqref="D29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Allied Pacific (APC Medicare)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100.89458698895866</v>
      </c>
      <c r="M7" s="574">
        <f>Transport!J20</f>
        <v>100.89458698895866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100.89458698895866</v>
      </c>
      <c r="Z7" s="15">
        <f>IF(Y7=0,0,LN(Y7))</f>
        <v>4.6140762786356468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4.6140762786356468</v>
      </c>
      <c r="AE7" s="127">
        <f ca="1">Y$54*$V7+Y$55</f>
        <v>4.6693956803617045</v>
      </c>
      <c r="AF7" s="127">
        <f ca="1">EXP(AE7)</f>
        <v>106.6332823705395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4.673472958632475</v>
      </c>
      <c r="AP7" s="127">
        <f ca="1">EXP(AO7)</f>
        <v>107.06894348795066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4.6629421523801327</v>
      </c>
      <c r="AZ7" s="127">
        <f t="shared" ref="AZ7:AZ19" ca="1" si="1">EXP(AY7)</f>
        <v>105.94733726265466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4.6729180636010712</v>
      </c>
      <c r="BJ7" s="127">
        <f t="shared" ref="BJ7:BJ24" ca="1" si="2">EXP(BI7)</f>
        <v>107.00954794386173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4.5789218224857535</v>
      </c>
      <c r="BT7" s="127">
        <f t="shared" ref="BT7:BT24" ca="1" si="3">EXP(BS7)</f>
        <v>97.409313038160775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4.6679632858339719</v>
      </c>
      <c r="CI7" s="127">
        <f t="shared" ref="CI7:CI24" ca="1" si="4">EXP(CH7)</f>
        <v>106.48065078082158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100.89458698895866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99.675216059479581</v>
      </c>
      <c r="M8" s="574">
        <f>Transport!J21</f>
        <v>99.675216059479581</v>
      </c>
      <c r="N8" s="120"/>
      <c r="O8">
        <f t="shared" ref="O8:O42" si="8">($J7=1)*($J8=1)*($J9=1)</f>
        <v>1</v>
      </c>
      <c r="P8" s="241">
        <f t="shared" ref="P8:P42" si="9">+O8*AVERAGE(L7:L9)</f>
        <v>102.82659411298313</v>
      </c>
      <c r="Q8" s="73">
        <f t="shared" ref="Q8:Q42" si="10">+O8*AVERAGE(M7:M9)</f>
        <v>102.82659411298313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99.675216059479581</v>
      </c>
      <c r="Z8" s="15">
        <f t="shared" ref="Z8:Z42" si="14">IF(Y8=0,0,LN(Y8))</f>
        <v>4.601917060904694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9.203834121809388</v>
      </c>
      <c r="AE8" s="127">
        <f t="shared" ref="AE8:AE42" ca="1" si="18">Y$54*$V8+Y$55</f>
        <v>4.6763004856831696</v>
      </c>
      <c r="AF8" s="127">
        <f t="shared" ref="AF8:AF42" ca="1" si="19">EXP(AE8)</f>
        <v>107.37211222887622</v>
      </c>
      <c r="AH8" s="121">
        <f>Transport!$A21</f>
        <v>44317</v>
      </c>
      <c r="AI8" s="73">
        <f t="shared" ref="AI8:AI40" si="20">$P8</f>
        <v>102.82659411298313</v>
      </c>
      <c r="AJ8" s="15">
        <f t="shared" ref="AJ8:AJ42" si="21">IF(AI8=0,0,LN(AI8))</f>
        <v>4.6330440171617235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9.2660880343234471</v>
      </c>
      <c r="AO8" s="127">
        <f t="shared" ref="AO8:AO42" ca="1" si="25">AI$54*$V8+AI$55</f>
        <v>4.6804208898307937</v>
      </c>
      <c r="AP8" s="127">
        <f ca="1">EXP(AO8)</f>
        <v>107.81544144598891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4.6703161863979004</v>
      </c>
      <c r="AZ8" s="127">
        <f t="shared" ca="1" si="1"/>
        <v>106.73148414134823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4.6799051334423556</v>
      </c>
      <c r="BJ8" s="127">
        <f t="shared" ca="1" si="2"/>
        <v>107.75984928053042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4.5892805069555873</v>
      </c>
      <c r="BT8" s="127">
        <f t="shared" ca="1" si="3"/>
        <v>98.423589592235999</v>
      </c>
      <c r="BW8" t="s">
        <v>1023</v>
      </c>
      <c r="BX8">
        <f t="shared" ref="BX8:BY9" si="41">C27</f>
        <v>3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4.6751598200761926</v>
      </c>
      <c r="CI8" s="127">
        <f t="shared" ca="1" si="4"/>
        <v>107.24970637865204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99.675216059479581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107.90997929051117</v>
      </c>
      <c r="M9" s="574">
        <f>Transport!J22</f>
        <v>107.90997929051117</v>
      </c>
      <c r="N9" s="120"/>
      <c r="O9">
        <f t="shared" si="8"/>
        <v>1</v>
      </c>
      <c r="P9" s="241">
        <f t="shared" si="9"/>
        <v>105.29397668688533</v>
      </c>
      <c r="Q9" s="73">
        <f t="shared" si="10"/>
        <v>105.29397668688533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107.90997929051117</v>
      </c>
      <c r="Z9" s="15">
        <f t="shared" si="14"/>
        <v>4.6812973544611687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14.043892063383506</v>
      </c>
      <c r="AE9" s="127">
        <f t="shared" ca="1" si="18"/>
        <v>4.6832052910046338</v>
      </c>
      <c r="AF9" s="127">
        <f t="shared" ca="1" si="19"/>
        <v>108.11606121650753</v>
      </c>
      <c r="AH9" s="121">
        <f>Transport!$A22</f>
        <v>44348</v>
      </c>
      <c r="AI9" s="73">
        <f t="shared" si="20"/>
        <v>105.29397668688533</v>
      </c>
      <c r="AJ9" s="15">
        <f t="shared" si="21"/>
        <v>4.656756216049784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13.970268648149352</v>
      </c>
      <c r="AO9" s="127">
        <f t="shared" ca="1" si="25"/>
        <v>4.6873688210291116</v>
      </c>
      <c r="AP9" s="127">
        <f ca="1">EXP(AO9)</f>
        <v>108.5671440804085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4.6776902204156681</v>
      </c>
      <c r="AZ9" s="127">
        <f t="shared" ca="1" si="1"/>
        <v>107.52143471783405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4.6868922032836391</v>
      </c>
      <c r="BJ9" s="127">
        <f t="shared" ca="1" si="2"/>
        <v>108.51541138230479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4.599639191425422</v>
      </c>
      <c r="BT9" s="127">
        <f t="shared" ca="1" si="3"/>
        <v>99.448427322610186</v>
      </c>
      <c r="BW9" t="s">
        <v>1024</v>
      </c>
      <c r="BX9">
        <f t="shared" si="41"/>
        <v>10</v>
      </c>
      <c r="BY9">
        <f t="shared" si="41"/>
        <v>2023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4.6823563543184132</v>
      </c>
      <c r="CI9" s="127">
        <f t="shared" ca="1" si="4"/>
        <v>108.02431647401998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107.90997929051117</v>
      </c>
      <c r="DT9" s="295">
        <f t="shared" ref="DT9:DT41" ca="1" si="55">+AP9</f>
        <v>108.5671440804085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108.29673471066521</v>
      </c>
      <c r="M10" s="574">
        <f>Transport!J23</f>
        <v>108.29673471066521</v>
      </c>
      <c r="N10" s="120"/>
      <c r="O10">
        <f t="shared" si="8"/>
        <v>1</v>
      </c>
      <c r="P10" s="241">
        <f t="shared" si="9"/>
        <v>110.32540692218294</v>
      </c>
      <c r="Q10" s="73">
        <f t="shared" si="10"/>
        <v>110.32540692218294</v>
      </c>
      <c r="S10">
        <f t="shared" si="11"/>
        <v>1</v>
      </c>
      <c r="T10" s="73">
        <f t="shared" si="12"/>
        <v>111.54678433493287</v>
      </c>
      <c r="U10" s="73">
        <f t="shared" si="13"/>
        <v>111.54678433493287</v>
      </c>
      <c r="V10" s="2">
        <v>4</v>
      </c>
      <c r="X10" s="121">
        <f>Transport!$A23</f>
        <v>44378</v>
      </c>
      <c r="Y10" s="73">
        <f t="shared" si="0"/>
        <v>108.29673471066521</v>
      </c>
      <c r="Z10" s="15">
        <f t="shared" si="14"/>
        <v>4.6848750031430422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18.739500012572169</v>
      </c>
      <c r="AE10" s="127">
        <f t="shared" ca="1" si="18"/>
        <v>4.690110096326098</v>
      </c>
      <c r="AF10" s="127">
        <f t="shared" ca="1" si="19"/>
        <v>108.86516480233671</v>
      </c>
      <c r="AH10" s="121">
        <f>Transport!$A23</f>
        <v>44378</v>
      </c>
      <c r="AI10" s="73">
        <f t="shared" si="20"/>
        <v>110.32540692218294</v>
      </c>
      <c r="AJ10" s="15">
        <f t="shared" si="21"/>
        <v>4.7034342435438505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18.813736974175402</v>
      </c>
      <c r="AO10" s="127">
        <f t="shared" ca="1" si="25"/>
        <v>4.6943167522274303</v>
      </c>
      <c r="AP10" s="127">
        <f t="shared" ref="AP10:AP42" ca="1" si="56">EXP(AO10)</f>
        <v>109.32408767885906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4.6850642544334367</v>
      </c>
      <c r="AZ10" s="127">
        <f t="shared" ca="1" si="1"/>
        <v>108.31723194695776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4.6938792731249235</v>
      </c>
      <c r="BJ10" s="127">
        <f t="shared" ca="1" si="2"/>
        <v>109.27627113523086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4.6099978758952558</v>
      </c>
      <c r="BT10" s="127">
        <f t="shared" ca="1" si="3"/>
        <v>100.48393619775707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4.6895528885606339</v>
      </c>
      <c r="CI10" s="127">
        <f t="shared" ca="1" si="4"/>
        <v>108.80452118423683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108.29673471066521</v>
      </c>
      <c r="DT10" s="295">
        <f t="shared" ca="1" si="55"/>
        <v>109.32408767885906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8.6949527675509897E-2</v>
      </c>
      <c r="F11" s="70">
        <f ca="1">+AI118</f>
        <v>8.6949527675509897E-2</v>
      </c>
      <c r="G11" s="70">
        <f ca="1">+AI180</f>
        <v>8.1949588192925527E-2</v>
      </c>
      <c r="H11" s="70">
        <f ca="1">+$AI$242</f>
        <v>8.1949588192925527E-2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114.76950676537243</v>
      </c>
      <c r="M11" s="574">
        <f>Transport!J24</f>
        <v>114.76950676537243</v>
      </c>
      <c r="N11" s="120"/>
      <c r="O11">
        <f t="shared" si="8"/>
        <v>1</v>
      </c>
      <c r="P11" s="241">
        <f t="shared" si="9"/>
        <v>113.59873106344916</v>
      </c>
      <c r="Q11" s="73">
        <f t="shared" si="10"/>
        <v>113.59873106344916</v>
      </c>
      <c r="S11">
        <f t="shared" si="11"/>
        <v>1</v>
      </c>
      <c r="T11" s="73">
        <f t="shared" si="12"/>
        <v>114.19934325585734</v>
      </c>
      <c r="U11" s="73">
        <f t="shared" si="13"/>
        <v>114.19934325585734</v>
      </c>
      <c r="V11" s="2">
        <v>5</v>
      </c>
      <c r="X11" s="121">
        <f>Transport!$A24</f>
        <v>44409</v>
      </c>
      <c r="Y11" s="73">
        <f t="shared" si="0"/>
        <v>114.76950676537243</v>
      </c>
      <c r="Z11" s="15">
        <f t="shared" si="14"/>
        <v>4.7429258280913968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23.714629140456985</v>
      </c>
      <c r="AE11" s="127">
        <f t="shared" ca="1" si="18"/>
        <v>4.6970149016475622</v>
      </c>
      <c r="AF11" s="127">
        <f t="shared" ca="1" si="19"/>
        <v>109.61945870102032</v>
      </c>
      <c r="AH11" s="121">
        <f>Transport!$A24</f>
        <v>44409</v>
      </c>
      <c r="AI11" s="73">
        <f t="shared" si="20"/>
        <v>113.59873106344916</v>
      </c>
      <c r="AJ11" s="15">
        <f t="shared" si="21"/>
        <v>4.7326723360085472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23.663361680042737</v>
      </c>
      <c r="AO11" s="127">
        <f t="shared" ca="1" si="25"/>
        <v>4.7012646834257481</v>
      </c>
      <c r="AP11" s="127">
        <f t="shared" ca="1" si="56"/>
        <v>110.08630878199189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4.6924382884512044</v>
      </c>
      <c r="AZ11" s="127">
        <f t="shared" ca="1" si="1"/>
        <v>109.11891910148594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4.700866342966207</v>
      </c>
      <c r="BJ11" s="127">
        <f t="shared" ca="1" si="2"/>
        <v>110.04246568398212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4.6203565603650905</v>
      </c>
      <c r="BT11" s="127">
        <f t="shared" ca="1" si="3"/>
        <v>101.53022733119991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4.6967494228028555</v>
      </c>
      <c r="CI11" s="127">
        <f t="shared" ca="1" si="4"/>
        <v>109.59036091636102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114.76950676537243</v>
      </c>
      <c r="DT11" s="295">
        <f t="shared" ca="1" si="55"/>
        <v>110.08630878199189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9.2521588259768306E-2</v>
      </c>
      <c r="F12" s="70">
        <f ca="1">+AS118</f>
        <v>9.2521588259768306E-2</v>
      </c>
      <c r="G12" s="70">
        <f ca="1">+$AS$180</f>
        <v>9.2447697714801436E-2</v>
      </c>
      <c r="H12" s="70">
        <f ca="1">+$AS$242</f>
        <v>9.2447697714801436E-2</v>
      </c>
      <c r="J12" s="228">
        <f t="shared" si="7"/>
        <v>1</v>
      </c>
      <c r="K12" s="121">
        <f>Transport!$A25</f>
        <v>44440</v>
      </c>
      <c r="L12" s="73">
        <f>Transport!$F25</f>
        <v>117.72995171430985</v>
      </c>
      <c r="M12" s="574">
        <f>Transport!J25</f>
        <v>117.72995171430985</v>
      </c>
      <c r="N12" s="120"/>
      <c r="O12">
        <f t="shared" si="8"/>
        <v>1</v>
      </c>
      <c r="P12" s="241">
        <f t="shared" si="9"/>
        <v>117.79959198298037</v>
      </c>
      <c r="Q12" s="73">
        <f t="shared" si="10"/>
        <v>117.79959198298037</v>
      </c>
      <c r="S12">
        <f t="shared" si="11"/>
        <v>1</v>
      </c>
      <c r="T12" s="73">
        <f t="shared" si="12"/>
        <v>115.09034372016781</v>
      </c>
      <c r="U12" s="73">
        <f t="shared" si="13"/>
        <v>115.09034372016781</v>
      </c>
      <c r="V12" s="2">
        <v>6</v>
      </c>
      <c r="X12" s="121">
        <f>Transport!$A25</f>
        <v>44440</v>
      </c>
      <c r="Y12" s="73">
        <f t="shared" si="0"/>
        <v>117.72995171430985</v>
      </c>
      <c r="Z12" s="15">
        <f t="shared" si="14"/>
        <v>4.7683934569508031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28.610360741704817</v>
      </c>
      <c r="AE12" s="127">
        <f t="shared" ca="1" si="18"/>
        <v>4.7039197069690273</v>
      </c>
      <c r="AF12" s="127">
        <f t="shared" ca="1" si="19"/>
        <v>110.37897887467109</v>
      </c>
      <c r="AH12" s="121">
        <f>Transport!$A25</f>
        <v>44440</v>
      </c>
      <c r="AI12" s="73">
        <f t="shared" si="20"/>
        <v>117.79959198298037</v>
      </c>
      <c r="AJ12" s="15">
        <f t="shared" si="21"/>
        <v>4.7689848075695558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28.613908845417335</v>
      </c>
      <c r="AO12" s="127">
        <f t="shared" ca="1" si="25"/>
        <v>4.7082126146240659</v>
      </c>
      <c r="AP12" s="127">
        <f t="shared" ca="1" si="56"/>
        <v>110.8538441852245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4.6998123224689721</v>
      </c>
      <c r="AZ12" s="127">
        <f t="shared" ca="1" si="1"/>
        <v>109.92653977445974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4.7078534128074914</v>
      </c>
      <c r="BJ12" s="127">
        <f t="shared" ca="1" si="2"/>
        <v>110.8140324336737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4.6307152448349242</v>
      </c>
      <c r="BT12" s="127">
        <f t="shared" ca="1" si="3"/>
        <v>102.58741299343347</v>
      </c>
      <c r="BW12" t="s">
        <v>1023</v>
      </c>
      <c r="BX12" s="582">
        <f>DATE(BY8,BX8,1)</f>
        <v>44621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4.7039459570450761</v>
      </c>
      <c r="CI12" s="127">
        <f t="shared" ca="1" si="4"/>
        <v>110.3818763692903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117.72995171430985</v>
      </c>
      <c r="DT12" s="295">
        <f t="shared" ca="1" si="55"/>
        <v>110.8538441852245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8.7460148329946197E-2</v>
      </c>
      <c r="F13" s="70">
        <f ca="1">+BC$118</f>
        <v>8.7460148329946197E-2</v>
      </c>
      <c r="G13" s="70">
        <f ca="1">+$BC$180</f>
        <v>9.5085294214765526E-2</v>
      </c>
      <c r="H13" s="70">
        <f ca="1">+$BC$242</f>
        <v>9.5085294214765526E-2</v>
      </c>
      <c r="J13" s="228">
        <f t="shared" si="7"/>
        <v>1</v>
      </c>
      <c r="K13" s="121">
        <f>Transport!$A26</f>
        <v>44470</v>
      </c>
      <c r="L13" s="73">
        <f>Transport!$F26</f>
        <v>120.89931746925885</v>
      </c>
      <c r="M13" s="574">
        <f>Transport!J26</f>
        <v>120.89931746925885</v>
      </c>
      <c r="N13" s="120"/>
      <c r="O13">
        <f t="shared" si="8"/>
        <v>1</v>
      </c>
      <c r="P13" s="241">
        <f t="shared" si="9"/>
        <v>118.07327958953175</v>
      </c>
      <c r="Q13" s="73">
        <f t="shared" si="10"/>
        <v>118.07327958953175</v>
      </c>
      <c r="S13">
        <f t="shared" si="11"/>
        <v>1</v>
      </c>
      <c r="T13" s="73">
        <f t="shared" si="12"/>
        <v>114.1633284376632</v>
      </c>
      <c r="U13" s="73">
        <f t="shared" si="13"/>
        <v>114.1633284376632</v>
      </c>
      <c r="V13" s="2">
        <v>7</v>
      </c>
      <c r="X13" s="121">
        <f>Transport!$A26</f>
        <v>44470</v>
      </c>
      <c r="Y13" s="73">
        <f t="shared" si="0"/>
        <v>120.89931746925885</v>
      </c>
      <c r="Z13" s="15">
        <f t="shared" si="14"/>
        <v>4.7949581121892519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33.564706785324766</v>
      </c>
      <c r="AE13" s="127">
        <f t="shared" ca="1" si="18"/>
        <v>4.7108245122904915</v>
      </c>
      <c r="AF13" s="127">
        <f t="shared" ca="1" si="19"/>
        <v>111.14376153457208</v>
      </c>
      <c r="AH13" s="121">
        <f>Transport!$A26</f>
        <v>44470</v>
      </c>
      <c r="AI13" s="73">
        <f t="shared" si="20"/>
        <v>118.07327958953175</v>
      </c>
      <c r="AJ13" s="15">
        <f t="shared" si="21"/>
        <v>4.7713054451872035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33.399138116310425</v>
      </c>
      <c r="AO13" s="127">
        <f t="shared" ca="1" si="25"/>
        <v>4.7151605458223846</v>
      </c>
      <c r="AP13" s="127">
        <f t="shared" ca="1" si="56"/>
        <v>111.62673094051665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4.7071863564867398</v>
      </c>
      <c r="AZ13" s="127">
        <f t="shared" ca="1" si="1"/>
        <v>110.74013788156491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4.7148404826487749</v>
      </c>
      <c r="BJ13" s="127">
        <f t="shared" ca="1" si="2"/>
        <v>111.59100905168765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4.6410739293047589</v>
      </c>
      <c r="BT13" s="127">
        <f t="shared" ca="1" si="3"/>
        <v>103.65560662397183</v>
      </c>
      <c r="BW13" t="s">
        <v>1024</v>
      </c>
      <c r="BX13" s="582">
        <f>DATE(BY9,BX9,1)</f>
        <v>45200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4.7111424912872968</v>
      </c>
      <c r="CI13" s="127">
        <f t="shared" ca="1" si="4"/>
        <v>111.17910853587018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120.89931746925885</v>
      </c>
      <c r="DT13" s="295">
        <f t="shared" ca="1" si="55"/>
        <v>111.62673094051665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0.13236029805262617</v>
      </c>
      <c r="F14" s="70">
        <f ca="1">+BM$118</f>
        <v>0.13236029805262617</v>
      </c>
      <c r="G14" s="70">
        <f ca="1">+$BM$180</f>
        <v>0.1310270309772017</v>
      </c>
      <c r="H14" s="70">
        <f ca="1">+$BM$242</f>
        <v>0.1310270309772017</v>
      </c>
      <c r="J14" s="228">
        <f t="shared" si="7"/>
        <v>1</v>
      </c>
      <c r="K14" s="121">
        <f>Transport!$A27</f>
        <v>44501</v>
      </c>
      <c r="L14" s="73">
        <f>Transport!$F27</f>
        <v>115.59056958502657</v>
      </c>
      <c r="M14" s="574">
        <f>Transport!J27</f>
        <v>115.59056958502657</v>
      </c>
      <c r="N14" s="120"/>
      <c r="O14">
        <f t="shared" si="8"/>
        <v>1</v>
      </c>
      <c r="P14" s="241">
        <f t="shared" si="9"/>
        <v>116.58195637688645</v>
      </c>
      <c r="Q14" s="73">
        <f t="shared" si="10"/>
        <v>116.58195637688645</v>
      </c>
      <c r="S14">
        <f t="shared" si="11"/>
        <v>1</v>
      </c>
      <c r="T14" s="73">
        <f t="shared" si="12"/>
        <v>112.74585782753446</v>
      </c>
      <c r="U14" s="73">
        <f t="shared" si="13"/>
        <v>112.74585782753446</v>
      </c>
      <c r="V14" s="2">
        <v>8</v>
      </c>
      <c r="X14" s="121">
        <f>Transport!$A27</f>
        <v>44501</v>
      </c>
      <c r="Y14" s="73">
        <f t="shared" si="0"/>
        <v>115.59056958502657</v>
      </c>
      <c r="Z14" s="15">
        <f t="shared" si="14"/>
        <v>4.750054374926413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38.000434999411304</v>
      </c>
      <c r="AE14" s="127">
        <f t="shared" ca="1" si="18"/>
        <v>4.7177293176119557</v>
      </c>
      <c r="AF14" s="127">
        <f t="shared" ca="1" si="19"/>
        <v>111.91384314290373</v>
      </c>
      <c r="AH14" s="121">
        <f>Transport!$A27</f>
        <v>44501</v>
      </c>
      <c r="AI14" s="73">
        <f t="shared" si="20"/>
        <v>116.58195637688645</v>
      </c>
      <c r="AJ14" s="15">
        <f t="shared" si="21"/>
        <v>4.7585945138875294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38.068756111100235</v>
      </c>
      <c r="AO14" s="127">
        <f t="shared" ca="1" si="25"/>
        <v>4.7221084770207025</v>
      </c>
      <c r="AP14" s="127">
        <f t="shared" ca="1" si="56"/>
        <v>112.40500635815863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4.7145603905045075</v>
      </c>
      <c r="AZ14" s="127">
        <f t="shared" ca="1" si="1"/>
        <v>111.55975766351987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4.7218275524900593</v>
      </c>
      <c r="BJ14" s="127">
        <f t="shared" ca="1" si="2"/>
        <v>112.37343346951262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4.6514326137745936</v>
      </c>
      <c r="BT14" s="127">
        <f t="shared" ca="1" si="3"/>
        <v>104.73492284352018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4.7183390255295174</v>
      </c>
      <c r="CI14" s="127">
        <f t="shared" ca="1" si="4"/>
        <v>111.98209870501658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115.59056958502657</v>
      </c>
      <c r="DT14" s="295">
        <f t="shared" ca="1" si="55"/>
        <v>112.40500635815863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113.25598207637394</v>
      </c>
      <c r="M15" s="574">
        <f>Transport!J28</f>
        <v>113.25598207637394</v>
      </c>
      <c r="N15" s="120"/>
      <c r="O15">
        <f t="shared" si="8"/>
        <v>1</v>
      </c>
      <c r="P15" s="241">
        <f t="shared" si="9"/>
        <v>110.527064892346</v>
      </c>
      <c r="Q15" s="73">
        <f t="shared" si="10"/>
        <v>110.527064892346</v>
      </c>
      <c r="S15">
        <f t="shared" si="11"/>
        <v>1</v>
      </c>
      <c r="T15" s="73">
        <f t="shared" si="12"/>
        <v>113.87291468308784</v>
      </c>
      <c r="U15" s="73">
        <f t="shared" si="13"/>
        <v>113.87291468308784</v>
      </c>
      <c r="V15" s="2">
        <v>9</v>
      </c>
      <c r="X15" s="121">
        <f>Transport!$A28</f>
        <v>44531</v>
      </c>
      <c r="Y15" s="73">
        <f t="shared" si="0"/>
        <v>113.25598207637394</v>
      </c>
      <c r="Z15" s="15">
        <f t="shared" si="14"/>
        <v>4.7296505848345545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42.566855263510988</v>
      </c>
      <c r="AE15" s="127">
        <f t="shared" ca="1" si="18"/>
        <v>4.7246341229334208</v>
      </c>
      <c r="AF15" s="127">
        <f t="shared" ca="1" si="19"/>
        <v>112.68926041448192</v>
      </c>
      <c r="AH15" s="121">
        <f>Transport!$A28</f>
        <v>44531</v>
      </c>
      <c r="AI15" s="73">
        <f t="shared" si="20"/>
        <v>110.527064892346</v>
      </c>
      <c r="AJ15" s="15">
        <f t="shared" si="21"/>
        <v>4.7052604221195224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42.347343799075702</v>
      </c>
      <c r="AO15" s="127">
        <f t="shared" ca="1" si="25"/>
        <v>4.7290564082190212</v>
      </c>
      <c r="AP15" s="127">
        <f t="shared" ca="1" si="56"/>
        <v>113.18870800857312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4.7219344245222752</v>
      </c>
      <c r="AZ15" s="127">
        <f t="shared" ca="1" si="1"/>
        <v>112.38544368848142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4.7288146223313428</v>
      </c>
      <c r="BJ15" s="127">
        <f t="shared" ca="1" si="2"/>
        <v>113.1613438845949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4.6617912982444274</v>
      </c>
      <c r="BT15" s="127">
        <f t="shared" ca="1" si="3"/>
        <v>105.82547746627421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4.7255355597717381</v>
      </c>
      <c r="CI15" s="127">
        <f t="shared" ca="1" si="4"/>
        <v>112.79088846385422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113.25598207637394</v>
      </c>
      <c r="DT15" s="295">
        <f t="shared" ca="1" si="55"/>
        <v>113.18870800857312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102.7346430156375</v>
      </c>
      <c r="M16" s="574">
        <f>Transport!J29</f>
        <v>102.7346430156375</v>
      </c>
      <c r="N16" s="120"/>
      <c r="O16">
        <f t="shared" si="8"/>
        <v>1</v>
      </c>
      <c r="P16" s="241">
        <f t="shared" si="9"/>
        <v>107.41843606553721</v>
      </c>
      <c r="Q16" s="73">
        <f t="shared" si="10"/>
        <v>107.41843606553721</v>
      </c>
      <c r="S16">
        <f t="shared" si="11"/>
        <v>1</v>
      </c>
      <c r="T16" s="73">
        <f t="shared" si="12"/>
        <v>112.65073149923825</v>
      </c>
      <c r="U16" s="73">
        <f t="shared" si="13"/>
        <v>112.65073149923825</v>
      </c>
      <c r="V16" s="2">
        <v>10</v>
      </c>
      <c r="X16" s="121">
        <f>Transport!$A29</f>
        <v>44562</v>
      </c>
      <c r="Y16" s="73">
        <f t="shared" si="0"/>
        <v>102.7346430156375</v>
      </c>
      <c r="Z16" s="15">
        <f t="shared" si="14"/>
        <v>4.6321493825043047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46.321493825043049</v>
      </c>
      <c r="AE16" s="127">
        <f t="shared" ca="1" si="18"/>
        <v>4.731538928254885</v>
      </c>
      <c r="AF16" s="127">
        <f t="shared" ca="1" si="19"/>
        <v>113.47005031850811</v>
      </c>
      <c r="AH16" s="121">
        <f>Transport!$A29</f>
        <v>44562</v>
      </c>
      <c r="AI16" s="73">
        <f t="shared" si="20"/>
        <v>107.41843606553721</v>
      </c>
      <c r="AJ16" s="15">
        <f t="shared" si="21"/>
        <v>4.6767318253091172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46.767318253091176</v>
      </c>
      <c r="AO16" s="127">
        <f t="shared" ca="1" si="25"/>
        <v>4.736004339417339</v>
      </c>
      <c r="AP16" s="127">
        <f t="shared" ca="1" si="56"/>
        <v>113.97787372412803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4.7293084585400438</v>
      </c>
      <c r="AZ16" s="127">
        <f t="shared" ca="1" si="1"/>
        <v>113.21724085446824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4.7358016921726271</v>
      </c>
      <c r="BJ16" s="127">
        <f t="shared" ca="1" si="2"/>
        <v>113.95477876220394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4.6721499827142621</v>
      </c>
      <c r="BT16" s="127">
        <f t="shared" ca="1" si="3"/>
        <v>106.92738751234771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4.7327320940139588</v>
      </c>
      <c r="CI16" s="127">
        <f t="shared" ca="1" si="4"/>
        <v>113.60551969987047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102.7346430156375</v>
      </c>
      <c r="DT16" s="295">
        <f t="shared" ca="1" si="55"/>
        <v>113.97787372412803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106.26468310460019</v>
      </c>
      <c r="M17" s="574">
        <f>Transport!J30</f>
        <v>106.26468310460019</v>
      </c>
      <c r="N17" s="120"/>
      <c r="O17">
        <f t="shared" si="8"/>
        <v>1</v>
      </c>
      <c r="P17" s="241">
        <f t="shared" si="9"/>
        <v>111.16387298928923</v>
      </c>
      <c r="Q17" s="73">
        <f t="shared" si="10"/>
        <v>111.16387298928923</v>
      </c>
      <c r="S17">
        <f t="shared" si="11"/>
        <v>1</v>
      </c>
      <c r="T17" s="73">
        <f t="shared" si="12"/>
        <v>112.6633057319781</v>
      </c>
      <c r="U17" s="73">
        <f t="shared" si="13"/>
        <v>112.6633057319781</v>
      </c>
      <c r="V17" s="2">
        <v>11</v>
      </c>
      <c r="X17" s="121">
        <f>Transport!$A30</f>
        <v>44593</v>
      </c>
      <c r="Y17" s="73">
        <f t="shared" si="0"/>
        <v>106.26468310460019</v>
      </c>
      <c r="Z17" s="15">
        <f t="shared" si="14"/>
        <v>4.6659329921822739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51.325262914005009</v>
      </c>
      <c r="AE17" s="127">
        <f t="shared" ca="1" si="18"/>
        <v>4.7384437335763492</v>
      </c>
      <c r="AF17" s="127">
        <f t="shared" ca="1" si="19"/>
        <v>114.25625008033253</v>
      </c>
      <c r="AH17" s="121">
        <f>Transport!$A30</f>
        <v>44593</v>
      </c>
      <c r="AI17" s="73">
        <f t="shared" si="20"/>
        <v>111.16387298928923</v>
      </c>
      <c r="AJ17" s="15">
        <f t="shared" si="21"/>
        <v>4.7110054458406605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51.821059904247264</v>
      </c>
      <c r="AO17" s="127">
        <f t="shared" ca="1" si="25"/>
        <v>4.7429522706156577</v>
      </c>
      <c r="AP17" s="127">
        <f t="shared" ca="1" si="56"/>
        <v>114.77254160096365</v>
      </c>
      <c r="AR17" s="121">
        <f>Transport!$A30</f>
        <v>44593</v>
      </c>
      <c r="AS17" s="73">
        <f t="shared" ref="AS17:AS40" si="57">$P17</f>
        <v>111.16387298928923</v>
      </c>
      <c r="AT17" s="15">
        <f t="shared" si="26"/>
        <v>4.7110054458406605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51.821059904247264</v>
      </c>
      <c r="AY17" s="127">
        <f t="shared" ca="1" si="30"/>
        <v>4.7366824925578115</v>
      </c>
      <c r="AZ17" s="127">
        <f t="shared" ca="1" si="1"/>
        <v>114.05519439180196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4.7427887620139106</v>
      </c>
      <c r="BJ17" s="127">
        <f t="shared" ca="1" si="2"/>
        <v>114.75377683730946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4.6825086671840959</v>
      </c>
      <c r="BT17" s="127">
        <f t="shared" ca="1" si="3"/>
        <v>108.04077122032852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4.7399286282561794</v>
      </c>
      <c r="CI17" s="127">
        <f t="shared" ca="1" si="4"/>
        <v>114.42603460308479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106.26468310460019</v>
      </c>
      <c r="DT17" s="295">
        <f t="shared" ca="1" si="55"/>
        <v>114.77254160096365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124.49229284762997</v>
      </c>
      <c r="M18" s="574">
        <f>Transport!J31</f>
        <v>124.49229284762997</v>
      </c>
      <c r="N18" s="120"/>
      <c r="O18">
        <f t="shared" si="8"/>
        <v>1</v>
      </c>
      <c r="P18" s="241">
        <f t="shared" si="9"/>
        <v>114.7743981061305</v>
      </c>
      <c r="Q18" s="73">
        <f t="shared" si="10"/>
        <v>114.7743981061305</v>
      </c>
      <c r="S18">
        <f t="shared" si="11"/>
        <v>1</v>
      </c>
      <c r="T18" s="73">
        <f t="shared" si="12"/>
        <v>113.5043190260684</v>
      </c>
      <c r="U18" s="73">
        <f t="shared" si="13"/>
        <v>113.5043190260684</v>
      </c>
      <c r="V18" s="2">
        <v>12</v>
      </c>
      <c r="X18" s="121">
        <f>Transport!$A31</f>
        <v>44621</v>
      </c>
      <c r="Y18" s="73">
        <f t="shared" si="0"/>
        <v>124.49229284762997</v>
      </c>
      <c r="Z18" s="15">
        <f t="shared" si="14"/>
        <v>4.8242438091502651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57.890925709803184</v>
      </c>
      <c r="AE18" s="127">
        <f t="shared" ca="1" si="18"/>
        <v>4.7453485388978134</v>
      </c>
      <c r="AF18" s="127">
        <f t="shared" ca="1" si="19"/>
        <v>115.04789718322851</v>
      </c>
      <c r="AH18" s="121">
        <f>Transport!$A31</f>
        <v>44621</v>
      </c>
      <c r="AI18" s="73">
        <f t="shared" si="20"/>
        <v>114.7743981061305</v>
      </c>
      <c r="AJ18" s="15">
        <f t="shared" si="21"/>
        <v>4.7429684460015658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56.915621352018789</v>
      </c>
      <c r="AO18" s="127">
        <f t="shared" ca="1" si="25"/>
        <v>4.7499002018139755</v>
      </c>
      <c r="AP18" s="127">
        <f t="shared" ca="1" si="56"/>
        <v>115.57275000083089</v>
      </c>
      <c r="AR18" s="121">
        <f>Transport!$A31</f>
        <v>44621</v>
      </c>
      <c r="AS18" s="73">
        <f t="shared" si="57"/>
        <v>114.7743981061305</v>
      </c>
      <c r="AT18" s="15">
        <f t="shared" si="26"/>
        <v>4.7429684460015658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56.915621352018789</v>
      </c>
      <c r="AY18" s="127">
        <f t="shared" ca="1" si="30"/>
        <v>4.7440565265755792</v>
      </c>
      <c r="AZ18" s="127">
        <f t="shared" ca="1" si="1"/>
        <v>114.89934986556719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4.749775831855195</v>
      </c>
      <c r="BJ18" s="127">
        <f t="shared" ca="1" si="2"/>
        <v>115.55837711647318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4.6928673516539305</v>
      </c>
      <c r="BT18" s="127">
        <f t="shared" ca="1" si="3"/>
        <v>109.16574805996669</v>
      </c>
      <c r="BZ18" s="583">
        <f t="shared" si="42"/>
        <v>1</v>
      </c>
      <c r="CA18" s="121">
        <f>Transport!$A31</f>
        <v>44621</v>
      </c>
      <c r="CB18" s="73">
        <f t="shared" si="43"/>
        <v>114.7743981061305</v>
      </c>
      <c r="CC18" s="15">
        <f t="shared" si="44"/>
        <v>4.7429684460015658</v>
      </c>
      <c r="CD18" s="98">
        <f t="shared" si="45"/>
        <v>1</v>
      </c>
      <c r="CE18" s="128">
        <f>IF(CD18&gt;0,12,0)</f>
        <v>12</v>
      </c>
      <c r="CF18" s="128">
        <f t="shared" si="46"/>
        <v>144</v>
      </c>
      <c r="CG18" s="15">
        <f t="shared" si="47"/>
        <v>56.915621352018789</v>
      </c>
      <c r="CH18" s="127">
        <f t="shared" ca="1" si="48"/>
        <v>4.7471251624984001</v>
      </c>
      <c r="CI18" s="127">
        <f t="shared" ca="1" si="4"/>
        <v>115.25247566823361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124.49229284762997</v>
      </c>
      <c r="DT18" s="295">
        <f t="shared" ca="1" si="55"/>
        <v>115.57275000083089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113.56621836616137</v>
      </c>
      <c r="M19" s="574">
        <f>Transport!J32</f>
        <v>113.56621836616137</v>
      </c>
      <c r="N19" s="120"/>
      <c r="O19">
        <f t="shared" si="8"/>
        <v>1</v>
      </c>
      <c r="P19" s="241">
        <f t="shared" si="9"/>
        <v>117.908175398419</v>
      </c>
      <c r="Q19" s="73">
        <f t="shared" si="10"/>
        <v>117.908175398419</v>
      </c>
      <c r="S19">
        <f t="shared" si="11"/>
        <v>1</v>
      </c>
      <c r="T19" s="73">
        <f t="shared" si="12"/>
        <v>115.39976067069767</v>
      </c>
      <c r="U19" s="73">
        <f t="shared" si="13"/>
        <v>115.39976067069767</v>
      </c>
      <c r="V19" s="2">
        <v>13</v>
      </c>
      <c r="X19" s="121">
        <f>Transport!$A32</f>
        <v>44652</v>
      </c>
      <c r="Y19" s="73">
        <f t="shared" si="0"/>
        <v>113.56621836616137</v>
      </c>
      <c r="Z19" s="15">
        <f t="shared" si="14"/>
        <v>4.7323860885254607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61.521019150830988</v>
      </c>
      <c r="AE19" s="127">
        <f t="shared" ca="1" si="18"/>
        <v>4.7522533442192785</v>
      </c>
      <c r="AF19" s="127">
        <f t="shared" ca="1" si="19"/>
        <v>115.8450293701798</v>
      </c>
      <c r="AH19" s="121">
        <f>Transport!$A32</f>
        <v>44652</v>
      </c>
      <c r="AI19" s="73">
        <f t="shared" si="20"/>
        <v>117.908175398419</v>
      </c>
      <c r="AJ19" s="15">
        <f t="shared" si="21"/>
        <v>4.7699061469409818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62.008779910232761</v>
      </c>
      <c r="AO19" s="127">
        <f t="shared" ca="1" si="25"/>
        <v>4.7568481330122934</v>
      </c>
      <c r="AP19" s="127">
        <f t="shared" ca="1" si="56"/>
        <v>116.37853755294383</v>
      </c>
      <c r="AR19" s="121">
        <f>Transport!$A32</f>
        <v>44652</v>
      </c>
      <c r="AS19" s="73">
        <f t="shared" si="57"/>
        <v>117.908175398419</v>
      </c>
      <c r="AT19" s="15">
        <f t="shared" si="26"/>
        <v>4.7699061469409818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62.008779910232761</v>
      </c>
      <c r="AY19" s="127">
        <f t="shared" ca="1" si="30"/>
        <v>4.7514305605933469</v>
      </c>
      <c r="AZ19" s="127">
        <f t="shared" ca="1" si="1"/>
        <v>115.74975317808881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4.7567629016964785</v>
      </c>
      <c r="BJ19" s="127">
        <f t="shared" ca="1" si="2"/>
        <v>116.36861887975238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4.7032260361237652</v>
      </c>
      <c r="BT19" s="127">
        <f t="shared" ca="1" si="3"/>
        <v>110.30243874499328</v>
      </c>
      <c r="BZ19" s="583">
        <f t="shared" si="42"/>
        <v>1</v>
      </c>
      <c r="CA19" s="121">
        <f>Transport!$A32</f>
        <v>44652</v>
      </c>
      <c r="CB19" s="73">
        <f t="shared" si="43"/>
        <v>117.908175398419</v>
      </c>
      <c r="CC19" s="15">
        <f t="shared" si="44"/>
        <v>4.7699061469409818</v>
      </c>
      <c r="CD19" s="98">
        <f t="shared" si="45"/>
        <v>1</v>
      </c>
      <c r="CE19" s="128">
        <f>IF(CD19&gt;0,13,0)</f>
        <v>13</v>
      </c>
      <c r="CF19" s="128">
        <f t="shared" si="46"/>
        <v>169</v>
      </c>
      <c r="CG19" s="15">
        <f t="shared" si="47"/>
        <v>62.008779910232761</v>
      </c>
      <c r="CH19" s="127">
        <f t="shared" ca="1" si="48"/>
        <v>4.7543216967406208</v>
      </c>
      <c r="CI19" s="127">
        <f t="shared" ca="1" si="4"/>
        <v>116.08488569697131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113.56621836616137</v>
      </c>
      <c r="DT19" s="295">
        <f t="shared" ca="1" si="55"/>
        <v>116.37853755294383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113.56621836616137</v>
      </c>
      <c r="EA19" s="127">
        <f ca="1">+AZ19</f>
        <v>115.74975317808881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115.66601498146562</v>
      </c>
      <c r="M20" s="574">
        <f>Transport!J33</f>
        <v>115.66601498146562</v>
      </c>
      <c r="N20" s="120"/>
      <c r="O20">
        <f t="shared" si="8"/>
        <v>1</v>
      </c>
      <c r="P20" s="241">
        <f t="shared" si="9"/>
        <v>115.84476506284757</v>
      </c>
      <c r="Q20" s="73">
        <f t="shared" si="10"/>
        <v>115.84476506284757</v>
      </c>
      <c r="S20">
        <f t="shared" si="11"/>
        <v>1</v>
      </c>
      <c r="T20" s="73">
        <f t="shared" si="12"/>
        <v>119.21629943200766</v>
      </c>
      <c r="U20" s="73">
        <f t="shared" si="13"/>
        <v>119.21629943200766</v>
      </c>
      <c r="V20" s="2">
        <v>14</v>
      </c>
      <c r="X20" s="121">
        <f>Transport!$A33</f>
        <v>44682</v>
      </c>
      <c r="Y20" s="73">
        <f t="shared" si="0"/>
        <v>115.66601498146562</v>
      </c>
      <c r="Z20" s="15">
        <f t="shared" si="14"/>
        <v>4.7507068570968745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66.509895999356246</v>
      </c>
      <c r="AE20" s="127">
        <f t="shared" ca="1" si="18"/>
        <v>4.7591581495407427</v>
      </c>
      <c r="AF20" s="127">
        <f t="shared" ca="1" si="19"/>
        <v>116.6476846456796</v>
      </c>
      <c r="AH20" s="121">
        <f>Transport!$A33</f>
        <v>44682</v>
      </c>
      <c r="AI20" s="73">
        <f t="shared" si="20"/>
        <v>115.84476506284757</v>
      </c>
      <c r="AJ20" s="15">
        <f t="shared" si="21"/>
        <v>4.752251062657133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66.531514877199868</v>
      </c>
      <c r="AO20" s="127">
        <f t="shared" ca="1" si="25"/>
        <v>4.7637960642106121</v>
      </c>
      <c r="AP20" s="127">
        <f t="shared" ca="1" si="56"/>
        <v>117.18994315584423</v>
      </c>
      <c r="AR20" s="121">
        <f>Transport!$A33</f>
        <v>44682</v>
      </c>
      <c r="AS20" s="73">
        <f t="shared" si="57"/>
        <v>115.84476506284757</v>
      </c>
      <c r="AT20" s="15">
        <f t="shared" si="26"/>
        <v>4.752251062657133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66.531514877199868</v>
      </c>
      <c r="AY20" s="127">
        <f t="shared" ca="1" si="30"/>
        <v>4.7588045946111146</v>
      </c>
      <c r="AZ20" s="127">
        <f t="shared" ref="AZ20:AZ42" ca="1" si="59">EXP(AY20)</f>
        <v>116.60645057142806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4.7637499715377629</v>
      </c>
      <c r="BJ20" s="127">
        <f t="shared" ca="1" si="2"/>
        <v>117.18454168261827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4.713584720593599</v>
      </c>
      <c r="BT20" s="127">
        <f t="shared" ca="1" si="3"/>
        <v>111.45096524607369</v>
      </c>
      <c r="BZ20" s="583">
        <f t="shared" si="42"/>
        <v>1</v>
      </c>
      <c r="CA20" s="121">
        <f>Transport!$A33</f>
        <v>44682</v>
      </c>
      <c r="CB20" s="73">
        <f t="shared" si="43"/>
        <v>115.84476506284757</v>
      </c>
      <c r="CC20" s="15">
        <f t="shared" si="44"/>
        <v>4.752251062657133</v>
      </c>
      <c r="CD20" s="98">
        <f t="shared" si="45"/>
        <v>1</v>
      </c>
      <c r="CE20" s="128">
        <f>IF(CD20&gt;0,14,0)</f>
        <v>14</v>
      </c>
      <c r="CF20" s="128">
        <f t="shared" si="46"/>
        <v>196</v>
      </c>
      <c r="CG20" s="15">
        <f t="shared" si="47"/>
        <v>66.531514877199868</v>
      </c>
      <c r="CH20" s="127">
        <f t="shared" ca="1" si="48"/>
        <v>4.7615182309828414</v>
      </c>
      <c r="CI20" s="127">
        <f t="shared" ca="1" si="4"/>
        <v>116.92330780008682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115.66601498146562</v>
      </c>
      <c r="DT20" s="295">
        <f t="shared" ca="1" si="55"/>
        <v>117.18994315584423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115.66601498146562</v>
      </c>
      <c r="EA20" s="127">
        <f t="shared" ref="EA20:EA41" ca="1" si="61">+AZ20</f>
        <v>116.60645057142806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118.30206184091573</v>
      </c>
      <c r="M21" s="574">
        <f>Transport!J34</f>
        <v>118.30206184091573</v>
      </c>
      <c r="N21" s="120"/>
      <c r="O21">
        <f t="shared" si="8"/>
        <v>1</v>
      </c>
      <c r="P21" s="241">
        <f t="shared" si="9"/>
        <v>116.02512323526484</v>
      </c>
      <c r="Q21" s="73">
        <f t="shared" si="10"/>
        <v>116.02512323526484</v>
      </c>
      <c r="S21">
        <f t="shared" si="11"/>
        <v>1</v>
      </c>
      <c r="T21" s="73">
        <f t="shared" si="12"/>
        <v>119.38231213016569</v>
      </c>
      <c r="U21" s="73">
        <f t="shared" si="13"/>
        <v>119.38231213016569</v>
      </c>
      <c r="V21" s="2">
        <v>15</v>
      </c>
      <c r="X21" s="121">
        <f>Transport!$A34</f>
        <v>44713</v>
      </c>
      <c r="Y21" s="73">
        <f t="shared" si="0"/>
        <v>118.30206184091573</v>
      </c>
      <c r="Z21" s="15">
        <f t="shared" si="14"/>
        <v>4.7732411997497524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71.59861799624629</v>
      </c>
      <c r="AE21" s="127">
        <f t="shared" ca="1" si="18"/>
        <v>4.7660629548622069</v>
      </c>
      <c r="AF21" s="127">
        <f t="shared" ca="1" si="19"/>
        <v>117.45590127754306</v>
      </c>
      <c r="AH21" s="121">
        <f>Transport!$A34</f>
        <v>44713</v>
      </c>
      <c r="AI21" s="73">
        <f t="shared" si="20"/>
        <v>116.02512323526484</v>
      </c>
      <c r="AJ21" s="15">
        <f t="shared" si="21"/>
        <v>4.7538067472707377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71.307101209061059</v>
      </c>
      <c r="AO21" s="127">
        <f t="shared" ca="1" si="25"/>
        <v>4.7707439954089299</v>
      </c>
      <c r="AP21" s="127">
        <f t="shared" ca="1" si="56"/>
        <v>118.00700597927903</v>
      </c>
      <c r="AR21" s="121">
        <f>Transport!$A34</f>
        <v>44713</v>
      </c>
      <c r="AS21" s="73">
        <f t="shared" si="57"/>
        <v>116.02512323526484</v>
      </c>
      <c r="AT21" s="15">
        <f t="shared" si="26"/>
        <v>4.7538067472707377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71.307101209061059</v>
      </c>
      <c r="AY21" s="127">
        <f t="shared" ca="1" si="30"/>
        <v>4.7661786286288823</v>
      </c>
      <c r="AZ21" s="127">
        <f t="shared" ca="1" si="59"/>
        <v>117.46948862989706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4.7707370413790464</v>
      </c>
      <c r="BJ21" s="127">
        <f t="shared" ca="1" si="2"/>
        <v>118.00618535788631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4.7239434050634337</v>
      </c>
      <c r="BT21" s="127">
        <f t="shared" ca="1" si="3"/>
        <v>112.61145080389578</v>
      </c>
      <c r="BZ21" s="583">
        <f t="shared" si="42"/>
        <v>1</v>
      </c>
      <c r="CA21" s="121">
        <f>Transport!$A34</f>
        <v>44713</v>
      </c>
      <c r="CB21" s="73">
        <f t="shared" si="43"/>
        <v>116.02512323526484</v>
      </c>
      <c r="CC21" s="15">
        <f t="shared" si="44"/>
        <v>4.7538067472707377</v>
      </c>
      <c r="CD21" s="98">
        <f t="shared" si="45"/>
        <v>1</v>
      </c>
      <c r="CE21" s="128">
        <f>IF(CD21&gt;0,15,0)</f>
        <v>15</v>
      </c>
      <c r="CF21" s="128">
        <f t="shared" si="46"/>
        <v>225</v>
      </c>
      <c r="CG21" s="15">
        <f t="shared" si="47"/>
        <v>71.307101209061059</v>
      </c>
      <c r="CH21" s="127">
        <f t="shared" ca="1" si="48"/>
        <v>4.768714765225063</v>
      </c>
      <c r="CI21" s="127">
        <f t="shared" ca="1" si="4"/>
        <v>117.76778539973645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118.30206184091573</v>
      </c>
      <c r="DT21" s="295">
        <f t="shared" ca="1" si="55"/>
        <v>118.00700597927903</v>
      </c>
      <c r="DX21" s="280">
        <f>Transport!$A34</f>
        <v>44713</v>
      </c>
      <c r="DY21" s="13">
        <f t="shared" si="58"/>
        <v>1</v>
      </c>
      <c r="DZ21" s="281">
        <f t="shared" si="60"/>
        <v>118.30206184091573</v>
      </c>
      <c r="EA21" s="127">
        <f t="shared" ca="1" si="61"/>
        <v>117.46948862989706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114.10729288341315</v>
      </c>
      <c r="M22" s="574">
        <f>Transport!J35</f>
        <v>114.10729288341315</v>
      </c>
      <c r="N22" s="120"/>
      <c r="O22">
        <f t="shared" si="8"/>
        <v>1</v>
      </c>
      <c r="P22" s="241">
        <f t="shared" si="9"/>
        <v>120.52442346559633</v>
      </c>
      <c r="Q22" s="73">
        <f t="shared" si="10"/>
        <v>120.52442346559633</v>
      </c>
      <c r="S22">
        <f t="shared" si="11"/>
        <v>1</v>
      </c>
      <c r="T22" s="73">
        <f t="shared" si="12"/>
        <v>121.6610274610419</v>
      </c>
      <c r="U22" s="73">
        <f t="shared" si="13"/>
        <v>121.6610274610419</v>
      </c>
      <c r="V22" s="2">
        <v>16</v>
      </c>
      <c r="X22" s="121">
        <f>Transport!$A35</f>
        <v>44743</v>
      </c>
      <c r="Y22" s="73">
        <f t="shared" si="0"/>
        <v>114.10729288341315</v>
      </c>
      <c r="Z22" s="15">
        <f t="shared" si="14"/>
        <v>4.7371391714197824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75.794226742716518</v>
      </c>
      <c r="AE22" s="127">
        <f t="shared" ca="1" si="18"/>
        <v>4.772967760183672</v>
      </c>
      <c r="AF22" s="127">
        <f t="shared" ca="1" si="19"/>
        <v>118.26971779873153</v>
      </c>
      <c r="AH22" s="121">
        <f>Transport!$A35</f>
        <v>44743</v>
      </c>
      <c r="AI22" s="73">
        <f t="shared" si="20"/>
        <v>120.52442346559633</v>
      </c>
      <c r="AJ22" s="15">
        <f t="shared" si="21"/>
        <v>4.7918524167548044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76.669638668076871</v>
      </c>
      <c r="AO22" s="127">
        <f t="shared" ca="1" si="25"/>
        <v>4.7776919266072486</v>
      </c>
      <c r="AP22" s="127">
        <f t="shared" ca="1" si="56"/>
        <v>118.82976546609187</v>
      </c>
      <c r="AR22" s="121">
        <f>Transport!$A35</f>
        <v>44743</v>
      </c>
      <c r="AS22" s="73">
        <f t="shared" si="57"/>
        <v>120.52442346559633</v>
      </c>
      <c r="AT22" s="15">
        <f t="shared" si="26"/>
        <v>4.7918524167548044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76.669638668076871</v>
      </c>
      <c r="AY22" s="127">
        <f t="shared" ca="1" si="30"/>
        <v>4.7735526626466509</v>
      </c>
      <c r="AZ22" s="127">
        <f t="shared" ca="1" si="59"/>
        <v>118.33891428259201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4.7777241112203308</v>
      </c>
      <c r="BJ22" s="127">
        <f t="shared" ca="1" si="2"/>
        <v>118.83359001766156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4.7343020895332675</v>
      </c>
      <c r="BT22" s="127">
        <f t="shared" ca="1" si="3"/>
        <v>113.78401994239326</v>
      </c>
      <c r="BZ22" s="583">
        <f t="shared" si="42"/>
        <v>1</v>
      </c>
      <c r="CA22" s="121">
        <f>Transport!$A35</f>
        <v>44743</v>
      </c>
      <c r="CB22" s="73">
        <f t="shared" si="43"/>
        <v>120.52442346559633</v>
      </c>
      <c r="CC22" s="15">
        <f t="shared" si="44"/>
        <v>4.7918524167548044</v>
      </c>
      <c r="CD22" s="98">
        <f t="shared" si="45"/>
        <v>1</v>
      </c>
      <c r="CE22" s="128">
        <f>IF(CD22&gt;0,16,0)</f>
        <v>16</v>
      </c>
      <c r="CF22" s="128">
        <f t="shared" si="46"/>
        <v>256</v>
      </c>
      <c r="CG22" s="15">
        <f t="shared" si="47"/>
        <v>76.669638668076871</v>
      </c>
      <c r="CH22" s="127">
        <f t="shared" ca="1" si="48"/>
        <v>4.7759112994672837</v>
      </c>
      <c r="CI22" s="127">
        <f t="shared" ca="1" si="4"/>
        <v>118.61836223169243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114.10729288341315</v>
      </c>
      <c r="DT22" s="295">
        <f t="shared" ca="1" si="55"/>
        <v>118.82976546609187</v>
      </c>
      <c r="DX22" s="280">
        <f>Transport!$A35</f>
        <v>44743</v>
      </c>
      <c r="DY22" s="13">
        <f t="shared" si="58"/>
        <v>1</v>
      </c>
      <c r="DZ22" s="281">
        <f t="shared" si="60"/>
        <v>114.10729288341315</v>
      </c>
      <c r="EA22" s="127">
        <f t="shared" ca="1" si="61"/>
        <v>118.33891428259201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129.16391567246009</v>
      </c>
      <c r="M23" s="574">
        <f>Transport!J36</f>
        <v>129.16391567246009</v>
      </c>
      <c r="N23" s="120"/>
      <c r="O23">
        <f t="shared" si="8"/>
        <v>1</v>
      </c>
      <c r="P23" s="241">
        <f t="shared" si="9"/>
        <v>122.91985919748379</v>
      </c>
      <c r="Q23" s="73">
        <f t="shared" si="10"/>
        <v>122.91985919748379</v>
      </c>
      <c r="S23">
        <f t="shared" si="11"/>
        <v>1</v>
      </c>
      <c r="T23" s="73">
        <f t="shared" si="12"/>
        <v>122.30571863485011</v>
      </c>
      <c r="U23" s="73">
        <f t="shared" si="13"/>
        <v>122.30571863485011</v>
      </c>
      <c r="V23" s="2">
        <v>17</v>
      </c>
      <c r="X23" s="121">
        <f>Transport!$A36</f>
        <v>44774</v>
      </c>
      <c r="Y23" s="73">
        <f t="shared" si="0"/>
        <v>129.16391567246009</v>
      </c>
      <c r="Z23" s="15">
        <f t="shared" si="14"/>
        <v>4.8610822618788223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82.638398451939977</v>
      </c>
      <c r="AE23" s="127">
        <f t="shared" ca="1" si="18"/>
        <v>4.7798725655051362</v>
      </c>
      <c r="AF23" s="127">
        <f t="shared" ca="1" si="19"/>
        <v>119.08917300918928</v>
      </c>
      <c r="AH23" s="121">
        <f>Transport!$A36</f>
        <v>44774</v>
      </c>
      <c r="AI23" s="73">
        <f t="shared" si="20"/>
        <v>122.91985919748379</v>
      </c>
      <c r="AJ23" s="15">
        <f t="shared" si="21"/>
        <v>4.8115325917806953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81.796054060271814</v>
      </c>
      <c r="AO23" s="127">
        <f t="shared" ca="1" si="25"/>
        <v>4.7846398578055664</v>
      </c>
      <c r="AP23" s="127">
        <f t="shared" ca="1" si="56"/>
        <v>119.65826133412641</v>
      </c>
      <c r="AR23" s="121">
        <f>Transport!$A36</f>
        <v>44774</v>
      </c>
      <c r="AS23" s="73">
        <f t="shared" si="57"/>
        <v>122.91985919748379</v>
      </c>
      <c r="AT23" s="15">
        <f t="shared" si="26"/>
        <v>4.8115325917806953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81.796054060271814</v>
      </c>
      <c r="AY23" s="127">
        <f t="shared" ca="1" si="30"/>
        <v>4.7809266966644186</v>
      </c>
      <c r="AZ23" s="127">
        <f t="shared" ca="1" si="59"/>
        <v>119.2147748059446</v>
      </c>
      <c r="BB23" s="121">
        <f>Transport!$A36</f>
        <v>44774</v>
      </c>
      <c r="BC23" s="73">
        <f t="shared" ref="BC23:BC40" si="62">$P23</f>
        <v>122.91985919748379</v>
      </c>
      <c r="BD23" s="15">
        <f t="shared" si="31"/>
        <v>4.8115325917806953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81.796054060271814</v>
      </c>
      <c r="BI23" s="127">
        <f t="shared" ca="1" si="35"/>
        <v>4.7847111810616143</v>
      </c>
      <c r="BJ23" s="127">
        <f t="shared" ca="1" si="2"/>
        <v>119.66679605529622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4.7446607740031022</v>
      </c>
      <c r="BT23" s="127">
        <f t="shared" ca="1" si="3"/>
        <v>114.96879848210841</v>
      </c>
      <c r="BZ23" s="583">
        <f t="shared" si="42"/>
        <v>1</v>
      </c>
      <c r="CA23" s="121">
        <f>Transport!$A36</f>
        <v>44774</v>
      </c>
      <c r="CB23" s="73">
        <f t="shared" si="43"/>
        <v>122.91985919748379</v>
      </c>
      <c r="CC23" s="15">
        <f t="shared" si="44"/>
        <v>4.8115325917806953</v>
      </c>
      <c r="CD23" s="98">
        <f t="shared" si="45"/>
        <v>1</v>
      </c>
      <c r="CE23" s="128">
        <f>IF(CD23&gt;0,17,0)</f>
        <v>17</v>
      </c>
      <c r="CF23" s="128">
        <f t="shared" si="46"/>
        <v>289</v>
      </c>
      <c r="CG23" s="15">
        <f t="shared" si="47"/>
        <v>81.796054060271814</v>
      </c>
      <c r="CH23" s="127">
        <f t="shared" ca="1" si="48"/>
        <v>4.7831078337095043</v>
      </c>
      <c r="CI23" s="127">
        <f t="shared" ca="1" si="4"/>
        <v>119.47508234760849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129.16391567246009</v>
      </c>
      <c r="DT23" s="295">
        <f t="shared" ca="1" si="55"/>
        <v>119.65826133412641</v>
      </c>
      <c r="DX23" s="280">
        <f>Transport!$A36</f>
        <v>44774</v>
      </c>
      <c r="DY23" s="13">
        <f t="shared" si="58"/>
        <v>1</v>
      </c>
      <c r="DZ23" s="281">
        <f t="shared" si="60"/>
        <v>129.16391567246009</v>
      </c>
      <c r="EA23" s="127">
        <f t="shared" ca="1" si="61"/>
        <v>119.2147748059446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125.48836903657812</v>
      </c>
      <c r="M24" s="574">
        <f>Transport!J37</f>
        <v>125.48836903657812</v>
      </c>
      <c r="N24" s="120"/>
      <c r="O24">
        <f t="shared" si="8"/>
        <v>1</v>
      </c>
      <c r="P24" s="241">
        <f t="shared" si="9"/>
        <v>127.29693168681895</v>
      </c>
      <c r="Q24" s="73">
        <f t="shared" si="10"/>
        <v>127.29693168681895</v>
      </c>
      <c r="S24">
        <f t="shared" si="11"/>
        <v>1</v>
      </c>
      <c r="T24" s="73">
        <f t="shared" si="12"/>
        <v>122.56748305125792</v>
      </c>
      <c r="U24" s="73">
        <f t="shared" si="13"/>
        <v>122.56748305125792</v>
      </c>
      <c r="V24" s="2">
        <v>18</v>
      </c>
      <c r="X24" s="121">
        <f>Transport!$A37</f>
        <v>44805</v>
      </c>
      <c r="Y24" s="73">
        <f t="shared" si="0"/>
        <v>125.48836903657812</v>
      </c>
      <c r="Z24" s="15">
        <f t="shared" si="14"/>
        <v>4.8322130772776823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86.979835390998289</v>
      </c>
      <c r="AE24" s="127">
        <f t="shared" ca="1" si="18"/>
        <v>4.7867773708266004</v>
      </c>
      <c r="AF24" s="127">
        <f t="shared" ca="1" si="19"/>
        <v>119.914305977694</v>
      </c>
      <c r="AH24" s="121">
        <f>Transport!$A37</f>
        <v>44805</v>
      </c>
      <c r="AI24" s="73">
        <f t="shared" si="20"/>
        <v>127.29693168681895</v>
      </c>
      <c r="AJ24" s="15">
        <f t="shared" si="21"/>
        <v>4.8465224022628153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87.237403240730671</v>
      </c>
      <c r="AO24" s="127">
        <f t="shared" ca="1" si="25"/>
        <v>4.7915877890038843</v>
      </c>
      <c r="AP24" s="127">
        <f t="shared" ca="1" si="56"/>
        <v>120.49253357814433</v>
      </c>
      <c r="AR24" s="121">
        <f>Transport!$A37</f>
        <v>44805</v>
      </c>
      <c r="AS24" s="73">
        <f t="shared" si="57"/>
        <v>127.29693168681895</v>
      </c>
      <c r="AT24" s="15">
        <f t="shared" si="26"/>
        <v>4.8465224022628153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87.237403240730671</v>
      </c>
      <c r="AY24" s="127">
        <f t="shared" ca="1" si="30"/>
        <v>4.7883007306821863</v>
      </c>
      <c r="AZ24" s="127">
        <f t="shared" ca="1" si="59"/>
        <v>120.09711782629336</v>
      </c>
      <c r="BB24" s="121">
        <f>Transport!$A37</f>
        <v>44805</v>
      </c>
      <c r="BC24" s="73">
        <f t="shared" si="62"/>
        <v>127.29693168681895</v>
      </c>
      <c r="BD24" s="15">
        <f t="shared" si="31"/>
        <v>4.8465224022628153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87.237403240730671</v>
      </c>
      <c r="BI24" s="127">
        <f t="shared" ca="1" si="35"/>
        <v>4.7916982509028987</v>
      </c>
      <c r="BJ24" s="127">
        <f t="shared" ca="1" si="2"/>
        <v>120.50584414736228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4.7550194584729359</v>
      </c>
      <c r="BT24" s="127">
        <f t="shared" ca="1" si="3"/>
        <v>116.16591355369216</v>
      </c>
      <c r="BZ24" s="583">
        <f t="shared" si="42"/>
        <v>1</v>
      </c>
      <c r="CA24" s="121">
        <f>Transport!$A37</f>
        <v>44805</v>
      </c>
      <c r="CB24" s="73">
        <f t="shared" si="43"/>
        <v>127.29693168681895</v>
      </c>
      <c r="CC24" s="15">
        <f t="shared" si="44"/>
        <v>4.8465224022628153</v>
      </c>
      <c r="CD24" s="98">
        <f t="shared" si="45"/>
        <v>1</v>
      </c>
      <c r="CE24" s="128">
        <f>IF(CD24&gt;0,18,0)</f>
        <v>18</v>
      </c>
      <c r="CF24" s="128">
        <f t="shared" si="46"/>
        <v>324</v>
      </c>
      <c r="CG24" s="15">
        <f t="shared" si="47"/>
        <v>87.237403240730671</v>
      </c>
      <c r="CH24" s="127">
        <f t="shared" ca="1" si="48"/>
        <v>4.790304367951725</v>
      </c>
      <c r="CI24" s="127">
        <f t="shared" ca="1" si="4"/>
        <v>120.33799011730098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125.48836903657812</v>
      </c>
      <c r="DT24" s="295">
        <f t="shared" ca="1" si="55"/>
        <v>120.49253357814433</v>
      </c>
      <c r="DX24" s="280">
        <f>Transport!$A37</f>
        <v>44805</v>
      </c>
      <c r="DY24" s="13">
        <f t="shared" si="58"/>
        <v>1</v>
      </c>
      <c r="DZ24" s="281">
        <f t="shared" si="60"/>
        <v>125.48836903657812</v>
      </c>
      <c r="EA24" s="127">
        <f t="shared" ca="1" si="61"/>
        <v>120.09711782629336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127.23851035141863</v>
      </c>
      <c r="M25" s="574">
        <f>Transport!J38</f>
        <v>127.23851035141863</v>
      </c>
      <c r="N25" s="120"/>
      <c r="O25">
        <f t="shared" si="8"/>
        <v>1</v>
      </c>
      <c r="P25" s="241">
        <f t="shared" si="9"/>
        <v>124.08701380410388</v>
      </c>
      <c r="Q25" s="73">
        <f t="shared" si="10"/>
        <v>124.08701380410388</v>
      </c>
      <c r="S25">
        <f t="shared" si="11"/>
        <v>1</v>
      </c>
      <c r="T25" s="73">
        <f t="shared" si="12"/>
        <v>122.88523022526658</v>
      </c>
      <c r="U25" s="73">
        <f t="shared" si="13"/>
        <v>122.88523022526658</v>
      </c>
      <c r="V25" s="2">
        <v>19</v>
      </c>
      <c r="X25" s="121">
        <f>Transport!$A38</f>
        <v>44835</v>
      </c>
      <c r="Y25" s="73">
        <f t="shared" si="0"/>
        <v>127.23851035141863</v>
      </c>
      <c r="Z25" s="15">
        <f t="shared" si="14"/>
        <v>4.8460633594202278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92.075203828984328</v>
      </c>
      <c r="AE25" s="127">
        <f t="shared" ca="1" si="18"/>
        <v>4.7936821761480655</v>
      </c>
      <c r="AF25" s="127">
        <f t="shared" ca="1" si="19"/>
        <v>120.74515604371921</v>
      </c>
      <c r="AH25" s="121">
        <f>Transport!$A38</f>
        <v>44835</v>
      </c>
      <c r="AI25" s="73">
        <f t="shared" si="20"/>
        <v>124.08701380410388</v>
      </c>
      <c r="AJ25" s="15">
        <f t="shared" si="21"/>
        <v>4.8209830437383552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91.598677831028752</v>
      </c>
      <c r="AO25" s="127">
        <f t="shared" ca="1" si="25"/>
        <v>4.798535720202203</v>
      </c>
      <c r="AP25" s="127">
        <f t="shared" ca="1" si="56"/>
        <v>121.3326224717558</v>
      </c>
      <c r="AR25" s="121">
        <f>Transport!$A38</f>
        <v>44835</v>
      </c>
      <c r="AS25" s="73">
        <f t="shared" si="57"/>
        <v>124.08701380410388</v>
      </c>
      <c r="AT25" s="15">
        <f t="shared" si="26"/>
        <v>4.8209830437383552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91.598677831028752</v>
      </c>
      <c r="AY25" s="127">
        <f t="shared" ca="1" si="30"/>
        <v>4.795674764699954</v>
      </c>
      <c r="AZ25" s="127">
        <f t="shared" ca="1" si="59"/>
        <v>120.98599132247304</v>
      </c>
      <c r="BB25" s="121">
        <f>Transport!$A38</f>
        <v>44835</v>
      </c>
      <c r="BC25" s="73">
        <f t="shared" si="62"/>
        <v>124.08701380410388</v>
      </c>
      <c r="BD25" s="15">
        <f t="shared" si="31"/>
        <v>4.8209830437383552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91.598677831028752</v>
      </c>
      <c r="BI25" s="127">
        <f t="shared" ca="1" si="35"/>
        <v>4.7986853207441822</v>
      </c>
      <c r="BJ25" s="127">
        <f ca="1">EXP(BI25)</f>
        <v>121.35077525563662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4.7653781429427706</v>
      </c>
      <c r="BT25" s="127">
        <f ca="1">EXP(BS25)</f>
        <v>117.3754936115465</v>
      </c>
      <c r="BZ25" s="583">
        <f t="shared" si="42"/>
        <v>1</v>
      </c>
      <c r="CA25" s="121">
        <f>Transport!$A38</f>
        <v>44835</v>
      </c>
      <c r="CB25" s="73">
        <f t="shared" si="43"/>
        <v>124.08701380410388</v>
      </c>
      <c r="CC25" s="15">
        <f t="shared" si="44"/>
        <v>4.8209830437383552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91.598677831028752</v>
      </c>
      <c r="CH25" s="127">
        <f t="shared" ca="1" si="48"/>
        <v>4.7975009021939456</v>
      </c>
      <c r="CI25" s="127">
        <f ca="1">EXP(CH25)</f>
        <v>121.20713023104682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127.23851035141863</v>
      </c>
      <c r="DT25" s="295">
        <f t="shared" ca="1" si="55"/>
        <v>121.3326224717558</v>
      </c>
      <c r="DX25" s="280">
        <f>Transport!$A38</f>
        <v>44835</v>
      </c>
      <c r="DY25" s="13">
        <f t="shared" si="58"/>
        <v>1</v>
      </c>
      <c r="DZ25" s="281">
        <f t="shared" si="60"/>
        <v>127.23851035141863</v>
      </c>
      <c r="EA25" s="127">
        <f t="shared" ca="1" si="61"/>
        <v>120.98599132247304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127.23851035141863</v>
      </c>
      <c r="EF25" s="127">
        <f ca="1">+BJ25</f>
        <v>121.35077525563662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119.53416202431487</v>
      </c>
      <c r="M26" s="574">
        <f>Transport!J39</f>
        <v>119.53416202431487</v>
      </c>
      <c r="N26" s="120"/>
      <c r="O26">
        <f t="shared" si="8"/>
        <v>1</v>
      </c>
      <c r="P26" s="241">
        <f t="shared" si="9"/>
        <v>122.21510690503203</v>
      </c>
      <c r="Q26" s="73">
        <f t="shared" si="10"/>
        <v>122.21510690503203</v>
      </c>
      <c r="S26">
        <f t="shared" si="11"/>
        <v>1</v>
      </c>
      <c r="T26" s="73">
        <f t="shared" si="12"/>
        <v>120.93742153691777</v>
      </c>
      <c r="U26" s="73">
        <f t="shared" si="13"/>
        <v>120.93742153691777</v>
      </c>
      <c r="V26" s="2">
        <v>20</v>
      </c>
      <c r="X26" s="121">
        <f>Transport!$A39</f>
        <v>44866</v>
      </c>
      <c r="Y26" s="73">
        <f t="shared" si="0"/>
        <v>119.53416202431487</v>
      </c>
      <c r="Z26" s="15">
        <f t="shared" si="14"/>
        <v>4.7836022051976439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95.672044103952885</v>
      </c>
      <c r="AE26" s="127">
        <f t="shared" ca="1" si="18"/>
        <v>4.8005869814695297</v>
      </c>
      <c r="AF26" s="127">
        <f t="shared" ca="1" si="19"/>
        <v>121.58176281930939</v>
      </c>
      <c r="AH26" s="121">
        <f>Transport!$A39</f>
        <v>44866</v>
      </c>
      <c r="AI26" s="73">
        <f t="shared" si="20"/>
        <v>122.21510690503203</v>
      </c>
      <c r="AJ26" s="15">
        <f t="shared" si="21"/>
        <v>4.8057826635240559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96.115653270481118</v>
      </c>
      <c r="AO26" s="127">
        <f t="shared" ca="1" si="25"/>
        <v>4.8054836514005208</v>
      </c>
      <c r="AP26" s="127">
        <f t="shared" ca="1" si="56"/>
        <v>122.17856856936321</v>
      </c>
      <c r="AR26" s="121">
        <f>Transport!$A39</f>
        <v>44866</v>
      </c>
      <c r="AS26" s="73">
        <f t="shared" si="57"/>
        <v>122.21510690503203</v>
      </c>
      <c r="AT26" s="15">
        <f t="shared" si="26"/>
        <v>4.8057826635240559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96.115653270481118</v>
      </c>
      <c r="AY26" s="127">
        <f t="shared" ca="1" si="30"/>
        <v>4.8030487987177217</v>
      </c>
      <c r="AZ26" s="127">
        <f t="shared" ca="1" si="59"/>
        <v>121.8814436284236</v>
      </c>
      <c r="BB26" s="121">
        <f>Transport!$A39</f>
        <v>44866</v>
      </c>
      <c r="BC26" s="73">
        <f t="shared" si="62"/>
        <v>122.21510690503203</v>
      </c>
      <c r="BD26" s="15">
        <f t="shared" si="31"/>
        <v>4.8057826635240559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96.115653270481118</v>
      </c>
      <c r="BI26" s="127">
        <f t="shared" ca="1" si="35"/>
        <v>4.8056723905854666</v>
      </c>
      <c r="BJ26" s="127">
        <f t="shared" ref="BJ26:BJ42" ca="1" si="65">EXP(BI26)</f>
        <v>122.20163062910154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4.7757368274126053</v>
      </c>
      <c r="BT26" s="127">
        <f t="shared" ref="BT26:BT42" ca="1" si="66">EXP(BS26)</f>
        <v>118.5976684476073</v>
      </c>
      <c r="BZ26" s="583">
        <f t="shared" si="42"/>
        <v>1</v>
      </c>
      <c r="CA26" s="121">
        <f>Transport!$A39</f>
        <v>44866</v>
      </c>
      <c r="CB26" s="73">
        <f t="shared" si="43"/>
        <v>122.21510690503203</v>
      </c>
      <c r="CC26" s="15">
        <f t="shared" si="44"/>
        <v>4.8057826635240559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96.115653270481118</v>
      </c>
      <c r="CH26" s="127">
        <f t="shared" ca="1" si="48"/>
        <v>4.8046974364361663</v>
      </c>
      <c r="CI26" s="127">
        <f t="shared" ref="CI26:CI42" ca="1" si="67">EXP(CH26)</f>
        <v>122.08254770189815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119.53416202431487</v>
      </c>
      <c r="DT26" s="295">
        <f t="shared" ca="1" si="55"/>
        <v>122.17856856936321</v>
      </c>
      <c r="DX26" s="280">
        <f>Transport!$A39</f>
        <v>44866</v>
      </c>
      <c r="DY26" s="13">
        <f t="shared" si="58"/>
        <v>1</v>
      </c>
      <c r="DZ26" s="281">
        <f t="shared" si="60"/>
        <v>119.53416202431487</v>
      </c>
      <c r="EA26" s="127">
        <f t="shared" ca="1" si="61"/>
        <v>121.8814436284236</v>
      </c>
      <c r="EC26" s="280">
        <f>Transport!$A39</f>
        <v>44866</v>
      </c>
      <c r="ED26" s="13">
        <f t="shared" si="63"/>
        <v>1</v>
      </c>
      <c r="EE26" s="281">
        <f t="shared" si="64"/>
        <v>119.53416202431487</v>
      </c>
      <c r="EF26" s="127">
        <f t="shared" ref="EF26:EF41" ca="1" si="69">+BJ26</f>
        <v>122.20163062910154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3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119.87264833936263</v>
      </c>
      <c r="M27" s="574">
        <f>Transport!J40</f>
        <v>119.87264833936263</v>
      </c>
      <c r="N27" s="120"/>
      <c r="O27">
        <f t="shared" si="8"/>
        <v>1</v>
      </c>
      <c r="P27" s="241">
        <f t="shared" si="9"/>
        <v>118.47352876371419</v>
      </c>
      <c r="Q27" s="73">
        <f t="shared" si="10"/>
        <v>118.47352876371419</v>
      </c>
      <c r="S27">
        <f t="shared" si="11"/>
        <v>1</v>
      </c>
      <c r="T27" s="73">
        <f t="shared" si="12"/>
        <v>122.28335798331818</v>
      </c>
      <c r="U27" s="73">
        <f t="shared" si="13"/>
        <v>122.28335798331818</v>
      </c>
      <c r="V27" s="2">
        <v>21</v>
      </c>
      <c r="X27" s="121">
        <f>Transport!$A40</f>
        <v>44896</v>
      </c>
      <c r="Y27" s="73">
        <f t="shared" si="0"/>
        <v>119.87264833936263</v>
      </c>
      <c r="Z27" s="15">
        <f t="shared" si="14"/>
        <v>4.7864299154041889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100.51502822348797</v>
      </c>
      <c r="AE27" s="127">
        <f t="shared" ca="1" si="18"/>
        <v>4.8074917867909939</v>
      </c>
      <c r="AF27" s="127">
        <f t="shared" ca="1" si="19"/>
        <v>122.42416619096933</v>
      </c>
      <c r="AH27" s="121">
        <f>Transport!$A40</f>
        <v>44896</v>
      </c>
      <c r="AI27" s="73">
        <f t="shared" si="20"/>
        <v>118.47352876371419</v>
      </c>
      <c r="AJ27" s="15">
        <f t="shared" si="21"/>
        <v>4.7746895496606081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100.26848054287277</v>
      </c>
      <c r="AO27" s="127">
        <f t="shared" ca="1" si="25"/>
        <v>4.8124315825988395</v>
      </c>
      <c r="AP27" s="127">
        <f t="shared" ca="1" si="56"/>
        <v>123.03041270811974</v>
      </c>
      <c r="AR27" s="121">
        <f>Transport!$A40</f>
        <v>44896</v>
      </c>
      <c r="AS27" s="73">
        <f t="shared" si="57"/>
        <v>118.47352876371419</v>
      </c>
      <c r="AT27" s="15">
        <f t="shared" si="26"/>
        <v>4.7746895496606081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100.26848054287277</v>
      </c>
      <c r="AY27" s="127">
        <f t="shared" ca="1" si="30"/>
        <v>4.8104228327354894</v>
      </c>
      <c r="AZ27" s="127">
        <f t="shared" ca="1" si="59"/>
        <v>122.78352343581848</v>
      </c>
      <c r="BB27" s="121">
        <f>Transport!$A40</f>
        <v>44896</v>
      </c>
      <c r="BC27" s="73">
        <f t="shared" si="62"/>
        <v>118.47352876371419</v>
      </c>
      <c r="BD27" s="15">
        <f t="shared" si="31"/>
        <v>4.7746895496606081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100.26848054287277</v>
      </c>
      <c r="BI27" s="127">
        <f t="shared" ca="1" si="35"/>
        <v>4.8126594604267501</v>
      </c>
      <c r="BJ27" s="127">
        <f t="shared" ca="1" si="65"/>
        <v>123.05845180595763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4.7860955118824391</v>
      </c>
      <c r="BT27" s="127">
        <f t="shared" ca="1" si="66"/>
        <v>119.83256920527172</v>
      </c>
      <c r="BZ27" s="583">
        <f t="shared" si="42"/>
        <v>1</v>
      </c>
      <c r="CA27" s="121">
        <f>Transport!$A40</f>
        <v>44896</v>
      </c>
      <c r="CB27" s="73">
        <f t="shared" si="43"/>
        <v>118.47352876371419</v>
      </c>
      <c r="CC27" s="15">
        <f t="shared" si="44"/>
        <v>4.7746895496606081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100.26848054287277</v>
      </c>
      <c r="CH27" s="127">
        <f t="shared" ca="1" si="48"/>
        <v>4.811893970678387</v>
      </c>
      <c r="CI27" s="127">
        <f t="shared" ca="1" si="67"/>
        <v>122.96428786801346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119.87264833936263</v>
      </c>
      <c r="DT27" s="295">
        <f t="shared" ca="1" si="55"/>
        <v>123.03041270811974</v>
      </c>
      <c r="DX27" s="280">
        <f>Transport!$A40</f>
        <v>44896</v>
      </c>
      <c r="DY27" s="13">
        <f t="shared" si="58"/>
        <v>1</v>
      </c>
      <c r="DZ27" s="281">
        <f t="shared" si="60"/>
        <v>119.87264833936263</v>
      </c>
      <c r="EA27" s="127">
        <f t="shared" ca="1" si="61"/>
        <v>122.78352343581848</v>
      </c>
      <c r="EC27" s="280">
        <f>Transport!$A40</f>
        <v>44896</v>
      </c>
      <c r="ED27" s="13">
        <f t="shared" si="63"/>
        <v>1</v>
      </c>
      <c r="EE27" s="281">
        <f t="shared" si="64"/>
        <v>119.87264833936263</v>
      </c>
      <c r="EF27" s="127">
        <f t="shared" ca="1" si="69"/>
        <v>123.05845180595763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10</v>
      </c>
      <c r="D28" s="584">
        <v>2023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116.01377592746509</v>
      </c>
      <c r="M28" s="574">
        <f>Transport!J41</f>
        <v>116.01377592746509</v>
      </c>
      <c r="N28" s="120"/>
      <c r="O28">
        <f t="shared" si="8"/>
        <v>1</v>
      </c>
      <c r="P28" s="241">
        <f t="shared" si="9"/>
        <v>117.78782926973163</v>
      </c>
      <c r="Q28" s="73">
        <f t="shared" si="10"/>
        <v>117.78782926973163</v>
      </c>
      <c r="S28">
        <f t="shared" si="11"/>
        <v>1</v>
      </c>
      <c r="T28" s="73">
        <f t="shared" ca="1" si="12"/>
        <v>120.8446009189651</v>
      </c>
      <c r="U28" s="73">
        <f t="shared" ca="1" si="13"/>
        <v>120.8446009189651</v>
      </c>
      <c r="V28" s="2">
        <v>22</v>
      </c>
      <c r="X28" s="121">
        <f>Transport!$A41</f>
        <v>44927</v>
      </c>
      <c r="Y28" s="73">
        <f t="shared" si="0"/>
        <v>116.01377592746509</v>
      </c>
      <c r="Z28" s="15">
        <f t="shared" si="14"/>
        <v>4.7537089420505811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104.58159672511279</v>
      </c>
      <c r="AE28" s="127">
        <f t="shared" ca="1" si="18"/>
        <v>4.8143965921124581</v>
      </c>
      <c r="AF28" s="127">
        <f t="shared" ca="1" si="19"/>
        <v>123.27240632156521</v>
      </c>
      <c r="AH28" s="121">
        <f>Transport!$A41</f>
        <v>44927</v>
      </c>
      <c r="AI28" s="73">
        <f t="shared" si="20"/>
        <v>117.78782926973163</v>
      </c>
      <c r="AJ28" s="15">
        <f t="shared" si="21"/>
        <v>4.7688849489846108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104.91546887766144</v>
      </c>
      <c r="AO28" s="127">
        <f t="shared" ca="1" si="25"/>
        <v>4.8193795137971573</v>
      </c>
      <c r="AP28" s="127">
        <f t="shared" ca="1" si="56"/>
        <v>123.88819600989986</v>
      </c>
      <c r="AR28" s="121">
        <f>Transport!$A41</f>
        <v>44927</v>
      </c>
      <c r="AS28" s="73">
        <f t="shared" si="57"/>
        <v>117.78782926973163</v>
      </c>
      <c r="AT28" s="15">
        <f t="shared" si="26"/>
        <v>4.7688849489846108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104.91546887766144</v>
      </c>
      <c r="AY28" s="127">
        <f t="shared" ca="1" si="30"/>
        <v>4.817796866753258</v>
      </c>
      <c r="AZ28" s="127">
        <f t="shared" ca="1" si="59"/>
        <v>123.69227979671237</v>
      </c>
      <c r="BB28" s="121">
        <f>Transport!$A41</f>
        <v>44927</v>
      </c>
      <c r="BC28" s="73">
        <f t="shared" si="62"/>
        <v>117.78782926973163</v>
      </c>
      <c r="BD28" s="15">
        <f t="shared" si="31"/>
        <v>4.7688849489846108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104.91546887766144</v>
      </c>
      <c r="BI28" s="127">
        <f t="shared" ca="1" si="35"/>
        <v>4.8196465302680345</v>
      </c>
      <c r="BJ28" s="127">
        <f t="shared" ca="1" si="65"/>
        <v>123.92128061565252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4.7964541963522738</v>
      </c>
      <c r="BT28" s="127">
        <f t="shared" ca="1" si="66"/>
        <v>121.08032839347069</v>
      </c>
      <c r="BZ28" s="583">
        <f t="shared" si="42"/>
        <v>1</v>
      </c>
      <c r="CA28" s="121">
        <f>Transport!$A41</f>
        <v>44927</v>
      </c>
      <c r="CB28" s="73">
        <f t="shared" si="43"/>
        <v>117.78782926973163</v>
      </c>
      <c r="CC28" s="15">
        <f t="shared" si="44"/>
        <v>4.7688849489846108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104.91546887766144</v>
      </c>
      <c r="CH28" s="127">
        <f t="shared" ca="1" si="48"/>
        <v>4.8190905049206076</v>
      </c>
      <c r="CI28" s="127">
        <f t="shared" ca="1" si="67"/>
        <v>123.85239639500568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116.01377592746509</v>
      </c>
      <c r="DT28" s="295">
        <f t="shared" ca="1" si="55"/>
        <v>123.88819600989986</v>
      </c>
      <c r="DX28" s="280">
        <f>Transport!$A41</f>
        <v>44927</v>
      </c>
      <c r="DY28" s="13">
        <f t="shared" si="58"/>
        <v>1</v>
      </c>
      <c r="DZ28" s="281">
        <f t="shared" si="60"/>
        <v>116.01377592746509</v>
      </c>
      <c r="EA28" s="127">
        <f t="shared" ca="1" si="61"/>
        <v>123.69227979671237</v>
      </c>
      <c r="EC28" s="280">
        <f>Transport!$A41</f>
        <v>44927</v>
      </c>
      <c r="ED28" s="13">
        <f t="shared" si="63"/>
        <v>1</v>
      </c>
      <c r="EE28" s="281">
        <f t="shared" si="64"/>
        <v>116.01377592746509</v>
      </c>
      <c r="EF28" s="127">
        <f t="shared" ca="1" si="69"/>
        <v>123.92128061565252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117.47706354236719</v>
      </c>
      <c r="M29" s="574">
        <f>Transport!J42</f>
        <v>117.47706354236719</v>
      </c>
      <c r="N29" s="120"/>
      <c r="O29">
        <f t="shared" si="8"/>
        <v>1</v>
      </c>
      <c r="P29" s="241">
        <f t="shared" si="9"/>
        <v>122.35160906160434</v>
      </c>
      <c r="Q29" s="73">
        <f t="shared" si="10"/>
        <v>122.35160906160434</v>
      </c>
      <c r="S29">
        <f t="shared" ca="1" si="11"/>
        <v>1</v>
      </c>
      <c r="T29" s="73">
        <f t="shared" ca="1" si="12"/>
        <v>121.64511381178606</v>
      </c>
      <c r="U29" s="73">
        <f t="shared" ca="1" si="13"/>
        <v>121.64511381178606</v>
      </c>
      <c r="V29" s="2">
        <v>23</v>
      </c>
      <c r="X29" s="121">
        <f>Transport!$A42</f>
        <v>44958</v>
      </c>
      <c r="Y29" s="73">
        <f t="shared" si="0"/>
        <v>117.47706354236719</v>
      </c>
      <c r="Z29" s="15">
        <f t="shared" si="14"/>
        <v>4.7662431106347061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109.62359154459824</v>
      </c>
      <c r="AE29" s="127">
        <f t="shared" ca="1" si="18"/>
        <v>4.8213013974339232</v>
      </c>
      <c r="AF29" s="127">
        <f t="shared" ca="1" si="19"/>
        <v>124.12652365223975</v>
      </c>
      <c r="AH29" s="121">
        <f>Transport!$A42</f>
        <v>44958</v>
      </c>
      <c r="AI29" s="73">
        <f t="shared" si="20"/>
        <v>122.35160906160434</v>
      </c>
      <c r="AJ29" s="15">
        <f t="shared" si="21"/>
        <v>4.806898941102606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110.55867564535994</v>
      </c>
      <c r="AO29" s="127">
        <f t="shared" ca="1" si="25"/>
        <v>4.8263274449954752</v>
      </c>
      <c r="AP29" s="127">
        <f t="shared" ca="1" si="56"/>
        <v>124.75195988328512</v>
      </c>
      <c r="AR29" s="121">
        <f>Transport!$A42</f>
        <v>44958</v>
      </c>
      <c r="AS29" s="73">
        <f t="shared" si="57"/>
        <v>122.35160906160434</v>
      </c>
      <c r="AT29" s="15">
        <f t="shared" si="26"/>
        <v>4.806898941102606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110.55867564535994</v>
      </c>
      <c r="AY29" s="127">
        <f t="shared" ca="1" si="30"/>
        <v>4.8251709007710257</v>
      </c>
      <c r="AZ29" s="127">
        <f t="shared" ca="1" si="59"/>
        <v>124.6077621262081</v>
      </c>
      <c r="BB29" s="121">
        <f>Transport!$A42</f>
        <v>44958</v>
      </c>
      <c r="BC29" s="73">
        <f t="shared" si="62"/>
        <v>122.35160906160434</v>
      </c>
      <c r="BD29" s="15">
        <f t="shared" si="31"/>
        <v>4.806898941102606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110.55867564535994</v>
      </c>
      <c r="BI29" s="127">
        <f t="shared" ca="1" si="35"/>
        <v>4.826633600109318</v>
      </c>
      <c r="BJ29" s="127">
        <f t="shared" ca="1" si="65"/>
        <v>124.79015918092209</v>
      </c>
      <c r="BL29" s="121">
        <f>Transport!$A42</f>
        <v>44958</v>
      </c>
      <c r="BM29" s="73">
        <f t="shared" ref="BM29:BM40" si="70">$P29</f>
        <v>122.35160906160434</v>
      </c>
      <c r="BN29" s="15">
        <f t="shared" si="36"/>
        <v>4.806898941102606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110.55867564535994</v>
      </c>
      <c r="BS29" s="127">
        <f t="shared" ca="1" si="40"/>
        <v>4.8068128808221076</v>
      </c>
      <c r="BT29" s="127">
        <f t="shared" ca="1" si="66"/>
        <v>122.34107990088678</v>
      </c>
      <c r="BZ29" s="583">
        <f t="shared" si="42"/>
        <v>1</v>
      </c>
      <c r="CA29" s="121">
        <f>Transport!$A42</f>
        <v>44958</v>
      </c>
      <c r="CB29" s="73">
        <f t="shared" si="43"/>
        <v>122.35160906160434</v>
      </c>
      <c r="CC29" s="15">
        <f t="shared" si="44"/>
        <v>4.806898941102606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110.55867564535994</v>
      </c>
      <c r="CH29" s="127">
        <f t="shared" ca="1" si="48"/>
        <v>4.8262870391628283</v>
      </c>
      <c r="CI29" s="127">
        <f t="shared" ca="1" si="67"/>
        <v>124.74691927830732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117.47706354236719</v>
      </c>
      <c r="DT29" s="295">
        <f t="shared" ca="1" si="55"/>
        <v>124.75195988328512</v>
      </c>
      <c r="DX29" s="280">
        <f>Transport!$A42</f>
        <v>44958</v>
      </c>
      <c r="DY29" s="13">
        <f t="shared" si="58"/>
        <v>1</v>
      </c>
      <c r="DZ29" s="281">
        <f t="shared" si="60"/>
        <v>117.47706354236719</v>
      </c>
      <c r="EA29" s="127">
        <f t="shared" ca="1" si="61"/>
        <v>124.6077621262081</v>
      </c>
      <c r="EC29" s="280">
        <f>Transport!$A42</f>
        <v>44958</v>
      </c>
      <c r="ED29" s="13">
        <f t="shared" si="63"/>
        <v>1</v>
      </c>
      <c r="EE29" s="281">
        <f t="shared" si="64"/>
        <v>117.47706354236719</v>
      </c>
      <c r="EF29" s="127">
        <f t="shared" ca="1" si="69"/>
        <v>124.79015918092209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133.5639877149807</v>
      </c>
      <c r="M30" s="574">
        <f>Transport!J43</f>
        <v>133.5639877149807</v>
      </c>
      <c r="N30" s="120"/>
      <c r="O30">
        <f t="shared" ca="1" si="8"/>
        <v>1</v>
      </c>
      <c r="P30" s="241">
        <f t="shared" ca="1" si="9"/>
        <v>123.21567307421599</v>
      </c>
      <c r="Q30" s="73">
        <f t="shared" ca="1" si="10"/>
        <v>123.21567307421599</v>
      </c>
      <c r="S30">
        <f t="shared" ca="1" si="11"/>
        <v>1</v>
      </c>
      <c r="T30" s="73">
        <f t="shared" ca="1" si="12"/>
        <v>122.7546048711114</v>
      </c>
      <c r="U30" s="73">
        <f t="shared" ca="1" si="13"/>
        <v>122.7546048711114</v>
      </c>
      <c r="V30" s="2">
        <v>24</v>
      </c>
      <c r="X30" s="121">
        <f>Transport!$A43</f>
        <v>44986</v>
      </c>
      <c r="Y30" s="73">
        <f t="shared" si="0"/>
        <v>133.5639877149807</v>
      </c>
      <c r="Z30" s="15">
        <f t="shared" si="14"/>
        <v>4.8945806717350155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117.46993612164037</v>
      </c>
      <c r="AE30" s="127">
        <f t="shared" ca="1" si="18"/>
        <v>4.8282062027553874</v>
      </c>
      <c r="AF30" s="127">
        <f t="shared" ca="1" si="19"/>
        <v>124.9865589043398</v>
      </c>
      <c r="AH30" s="121">
        <f>Transport!$A43</f>
        <v>44986</v>
      </c>
      <c r="AI30" s="73">
        <f t="shared" ca="1" si="20"/>
        <v>123.21567307421599</v>
      </c>
      <c r="AJ30" s="15">
        <f t="shared" ca="1" si="21"/>
        <v>4.8139362595195783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115.53447022846987</v>
      </c>
      <c r="AO30" s="127">
        <f t="shared" ca="1" si="25"/>
        <v>4.8332753761937939</v>
      </c>
      <c r="AP30" s="127">
        <f t="shared" ca="1" si="56"/>
        <v>125.62174602556291</v>
      </c>
      <c r="AR30" s="121">
        <f>Transport!$A43</f>
        <v>44986</v>
      </c>
      <c r="AS30" s="73">
        <f t="shared" ca="1" si="57"/>
        <v>123.21567307421599</v>
      </c>
      <c r="AT30" s="15">
        <f t="shared" ca="1" si="26"/>
        <v>4.8139362595195783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115.53447022846987</v>
      </c>
      <c r="AY30" s="127">
        <f t="shared" ca="1" si="30"/>
        <v>4.8325449347887934</v>
      </c>
      <c r="AZ30" s="127">
        <f t="shared" ca="1" si="59"/>
        <v>125.53002020514427</v>
      </c>
      <c r="BB30" s="121">
        <f>Transport!$A43</f>
        <v>44986</v>
      </c>
      <c r="BC30" s="73">
        <f t="shared" ca="1" si="62"/>
        <v>123.21567307421599</v>
      </c>
      <c r="BD30" s="15">
        <f t="shared" ca="1" si="31"/>
        <v>4.8139362595195783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115.53447022846987</v>
      </c>
      <c r="BI30" s="127">
        <f t="shared" ca="1" si="35"/>
        <v>4.8336206699506024</v>
      </c>
      <c r="BJ30" s="127">
        <f t="shared" ca="1" si="65"/>
        <v>125.66512991984779</v>
      </c>
      <c r="BL30" s="121">
        <f>Transport!$A43</f>
        <v>44986</v>
      </c>
      <c r="BM30" s="73">
        <f t="shared" ca="1" si="70"/>
        <v>123.21567307421599</v>
      </c>
      <c r="BN30" s="15">
        <f t="shared" ca="1" si="36"/>
        <v>4.8139362595195783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115.53447022846987</v>
      </c>
      <c r="BS30" s="127">
        <f t="shared" ca="1" si="40"/>
        <v>4.8171715652919422</v>
      </c>
      <c r="BT30" s="127">
        <f t="shared" ca="1" si="66"/>
        <v>123.61495901032175</v>
      </c>
      <c r="BZ30" s="583">
        <f t="shared" si="42"/>
        <v>1</v>
      </c>
      <c r="CA30" s="121">
        <f>Transport!$A43</f>
        <v>44986</v>
      </c>
      <c r="CB30" s="73">
        <f t="shared" ca="1" si="43"/>
        <v>123.21567307421599</v>
      </c>
      <c r="CC30" s="15">
        <f t="shared" ca="1" si="44"/>
        <v>4.8139362595195783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115.53447022846987</v>
      </c>
      <c r="CH30" s="127">
        <f t="shared" ca="1" si="48"/>
        <v>4.8334835734050499</v>
      </c>
      <c r="CI30" s="127">
        <f t="shared" ca="1" si="67"/>
        <v>125.64790284555254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133.5639877149807</v>
      </c>
      <c r="DT30" s="295">
        <f t="shared" ca="1" si="55"/>
        <v>125.62174602556291</v>
      </c>
      <c r="DX30" s="280">
        <f>Transport!$A43</f>
        <v>44986</v>
      </c>
      <c r="DY30" s="13">
        <f t="shared" si="58"/>
        <v>1</v>
      </c>
      <c r="DZ30" s="281">
        <f t="shared" si="60"/>
        <v>133.5639877149807</v>
      </c>
      <c r="EA30" s="127">
        <f t="shared" ca="1" si="61"/>
        <v>125.53002020514427</v>
      </c>
      <c r="EC30" s="280">
        <f>Transport!$A43</f>
        <v>44986</v>
      </c>
      <c r="ED30" s="13">
        <f t="shared" si="63"/>
        <v>1</v>
      </c>
      <c r="EE30" s="281">
        <f t="shared" si="64"/>
        <v>133.5639877149807</v>
      </c>
      <c r="EF30" s="127">
        <f t="shared" ca="1" si="69"/>
        <v>125.66512991984779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118.6059679653001</v>
      </c>
      <c r="M31" s="574">
        <f ca="1">Transport!J44</f>
        <v>118.6059679653001</v>
      </c>
      <c r="N31" s="120"/>
      <c r="O31">
        <f t="shared" ca="1" si="8"/>
        <v>1</v>
      </c>
      <c r="P31" s="241">
        <f t="shared" ca="1" si="9"/>
        <v>125.50239835384048</v>
      </c>
      <c r="Q31" s="73">
        <f t="shared" ca="1" si="10"/>
        <v>125.50239835384048</v>
      </c>
      <c r="S31">
        <f t="shared" ca="1" si="11"/>
        <v>1</v>
      </c>
      <c r="T31" s="73">
        <f t="shared" ca="1" si="12"/>
        <v>123.9240819946706</v>
      </c>
      <c r="U31" s="73">
        <f t="shared" ca="1" si="13"/>
        <v>123.9240819946706</v>
      </c>
      <c r="V31" s="2">
        <v>25</v>
      </c>
      <c r="X31" s="121">
        <f>Transport!$A44</f>
        <v>45017</v>
      </c>
      <c r="Y31" s="73">
        <f t="shared" ca="1" si="0"/>
        <v>118.6059679653001</v>
      </c>
      <c r="Z31" s="15">
        <f t="shared" ca="1" si="14"/>
        <v>4.7758068054097533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119.39517013524383</v>
      </c>
      <c r="AE31" s="127">
        <f t="shared" ca="1" si="18"/>
        <v>4.8351110080768516</v>
      </c>
      <c r="AF31" s="127">
        <f t="shared" ca="1" si="19"/>
        <v>125.85255308135848</v>
      </c>
      <c r="AH31" s="121">
        <f>Transport!$A44</f>
        <v>45017</v>
      </c>
      <c r="AI31" s="73">
        <f t="shared" ca="1" si="20"/>
        <v>125.50239835384048</v>
      </c>
      <c r="AJ31" s="15">
        <f t="shared" ca="1" si="21"/>
        <v>4.8323248687784046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120.80812171946012</v>
      </c>
      <c r="AO31" s="127">
        <f t="shared" ca="1" si="25"/>
        <v>4.8402233073921117</v>
      </c>
      <c r="AP31" s="127">
        <f t="shared" ca="1" si="56"/>
        <v>126.49759642473887</v>
      </c>
      <c r="AR31" s="121">
        <f>Transport!$A44</f>
        <v>45017</v>
      </c>
      <c r="AS31" s="73">
        <f t="shared" ca="1" si="57"/>
        <v>125.50239835384048</v>
      </c>
      <c r="AT31" s="15">
        <f t="shared" ca="1" si="26"/>
        <v>4.8323248687784046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120.80812171946012</v>
      </c>
      <c r="AY31" s="127">
        <f t="shared" ca="1" si="30"/>
        <v>4.8399189688065611</v>
      </c>
      <c r="AZ31" s="127">
        <f t="shared" ca="1" si="59"/>
        <v>126.45910418280175</v>
      </c>
      <c r="BB31" s="121">
        <f>Transport!$A44</f>
        <v>45017</v>
      </c>
      <c r="BC31" s="73">
        <f t="shared" ca="1" si="62"/>
        <v>125.50239835384048</v>
      </c>
      <c r="BD31" s="15">
        <f t="shared" ca="1" si="31"/>
        <v>4.8323248687784046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120.80812171946012</v>
      </c>
      <c r="BI31" s="127">
        <f t="shared" ca="1" si="35"/>
        <v>4.8406077397918859</v>
      </c>
      <c r="BJ31" s="127">
        <f t="shared" ca="1" si="65"/>
        <v>126.5462355479265</v>
      </c>
      <c r="BL31" s="121">
        <f>Transport!$A44</f>
        <v>45017</v>
      </c>
      <c r="BM31" s="73">
        <f t="shared" ca="1" si="70"/>
        <v>125.50239835384048</v>
      </c>
      <c r="BN31" s="15">
        <f t="shared" ca="1" si="36"/>
        <v>4.8323248687784046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120.80812171946012</v>
      </c>
      <c r="BS31" s="127">
        <f t="shared" ca="1" si="40"/>
        <v>4.8275302497617769</v>
      </c>
      <c r="BT31" s="127">
        <f t="shared" ca="1" si="66"/>
        <v>124.90210241321212</v>
      </c>
      <c r="BZ31" s="583">
        <f t="shared" si="42"/>
        <v>1</v>
      </c>
      <c r="CA31" s="121">
        <f>Transport!$A44</f>
        <v>45017</v>
      </c>
      <c r="CB31" s="73">
        <f t="shared" ca="1" si="43"/>
        <v>125.50239835384048</v>
      </c>
      <c r="CC31" s="15">
        <f t="shared" ca="1" si="44"/>
        <v>4.8323248687784046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120.80812171946012</v>
      </c>
      <c r="CH31" s="127">
        <f t="shared" ca="1" si="48"/>
        <v>4.8406801076472705</v>
      </c>
      <c r="CI31" s="127">
        <f t="shared" ca="1" si="67"/>
        <v>126.55539375897615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118.6059679653001</v>
      </c>
      <c r="DT31" s="295">
        <f t="shared" ca="1" si="55"/>
        <v>126.49759642473887</v>
      </c>
      <c r="DX31" s="280">
        <f>Transport!$A44</f>
        <v>45017</v>
      </c>
      <c r="DY31" s="13">
        <f t="shared" ca="1" si="58"/>
        <v>1</v>
      </c>
      <c r="DZ31" s="281">
        <f t="shared" ca="1" si="60"/>
        <v>118.6059679653001</v>
      </c>
      <c r="EA31" s="127">
        <f t="shared" ca="1" si="61"/>
        <v>126.45910418280175</v>
      </c>
      <c r="EC31" s="280">
        <f>Transport!$A44</f>
        <v>45017</v>
      </c>
      <c r="ED31" s="13">
        <f t="shared" ca="1" si="63"/>
        <v>1</v>
      </c>
      <c r="EE31" s="281">
        <f t="shared" ca="1" si="64"/>
        <v>118.6059679653001</v>
      </c>
      <c r="EF31" s="127">
        <f t="shared" ca="1" si="69"/>
        <v>126.5462355479265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118.6059679653001</v>
      </c>
      <c r="EK31" s="127">
        <f t="shared" ref="EK31:EK42" ca="1" si="73">+BT31</f>
        <v>124.90210241321212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124.33723938124062</v>
      </c>
      <c r="M32" s="574">
        <f ca="1">Transport!J45</f>
        <v>124.33723938124062</v>
      </c>
      <c r="N32" s="120"/>
      <c r="O32">
        <f t="shared" ca="1" si="8"/>
        <v>1</v>
      </c>
      <c r="P32" s="241">
        <f t="shared" ca="1" si="9"/>
        <v>123.15760068061847</v>
      </c>
      <c r="Q32" s="73">
        <f t="shared" ca="1" si="10"/>
        <v>123.15760068061847</v>
      </c>
      <c r="S32">
        <f t="shared" ca="1" si="11"/>
        <v>1</v>
      </c>
      <c r="T32" s="73">
        <f t="shared" ca="1" si="12"/>
        <v>126.67694316641909</v>
      </c>
      <c r="U32" s="73">
        <f t="shared" ca="1" si="13"/>
        <v>126.67694316641909</v>
      </c>
      <c r="V32" s="2">
        <v>26</v>
      </c>
      <c r="X32" s="121">
        <f>Transport!$A45</f>
        <v>45047</v>
      </c>
      <c r="Y32" s="73">
        <f t="shared" ca="1" si="0"/>
        <v>124.33723938124062</v>
      </c>
      <c r="Z32" s="15">
        <f t="shared" ca="1" si="14"/>
        <v>4.8229975464171471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125.39793620684583</v>
      </c>
      <c r="AE32" s="127">
        <f t="shared" ca="1" si="18"/>
        <v>4.8420158133983167</v>
      </c>
      <c r="AF32" s="127">
        <f t="shared" ca="1" si="19"/>
        <v>126.72454747088976</v>
      </c>
      <c r="AH32" s="121">
        <f>Transport!$A45</f>
        <v>45047</v>
      </c>
      <c r="AI32" s="73">
        <f t="shared" ca="1" si="20"/>
        <v>123.15760068061847</v>
      </c>
      <c r="AJ32" s="15">
        <f t="shared" ca="1" si="21"/>
        <v>4.8134648415464527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125.15008588020777</v>
      </c>
      <c r="AO32" s="127">
        <f t="shared" ca="1" si="25"/>
        <v>4.8471712385904304</v>
      </c>
      <c r="AP32" s="127">
        <f t="shared" ca="1" si="56"/>
        <v>127.37955336156473</v>
      </c>
      <c r="AR32" s="121">
        <f>Transport!$A45</f>
        <v>45047</v>
      </c>
      <c r="AS32" s="73">
        <f t="shared" ca="1" si="57"/>
        <v>123.15760068061847</v>
      </c>
      <c r="AT32" s="15">
        <f t="shared" ca="1" si="26"/>
        <v>4.8134648415464527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125.15008588020777</v>
      </c>
      <c r="AY32" s="127">
        <f t="shared" ca="1" si="30"/>
        <v>4.8472930028243288</v>
      </c>
      <c r="AZ32" s="127">
        <f t="shared" ca="1" si="59"/>
        <v>127.39506457963076</v>
      </c>
      <c r="BB32" s="121">
        <f>Transport!$A45</f>
        <v>45047</v>
      </c>
      <c r="BC32" s="73">
        <f t="shared" ca="1" si="62"/>
        <v>123.15760068061847</v>
      </c>
      <c r="BD32" s="15">
        <f t="shared" ca="1" si="31"/>
        <v>4.8134648415464527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125.15008588020777</v>
      </c>
      <c r="BI32" s="127">
        <f t="shared" ca="1" si="35"/>
        <v>4.8475948096331702</v>
      </c>
      <c r="BJ32" s="127">
        <f t="shared" ca="1" si="65"/>
        <v>127.43351908015683</v>
      </c>
      <c r="BL32" s="121">
        <f>Transport!$A45</f>
        <v>45047</v>
      </c>
      <c r="BM32" s="73">
        <f t="shared" ca="1" si="70"/>
        <v>123.15760068061847</v>
      </c>
      <c r="BN32" s="15">
        <f t="shared" ca="1" si="36"/>
        <v>4.8134648415464527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125.15008588020777</v>
      </c>
      <c r="BS32" s="127">
        <f t="shared" ca="1" si="40"/>
        <v>4.8378889342316107</v>
      </c>
      <c r="BT32" s="127">
        <f t="shared" ca="1" si="66"/>
        <v>126.20264822429688</v>
      </c>
      <c r="BZ32" s="583">
        <f t="shared" si="42"/>
        <v>1</v>
      </c>
      <c r="CA32" s="121">
        <f>Transport!$A45</f>
        <v>45047</v>
      </c>
      <c r="CB32" s="73">
        <f t="shared" ca="1" si="43"/>
        <v>123.15760068061847</v>
      </c>
      <c r="CC32" s="15">
        <f t="shared" ca="1" si="44"/>
        <v>4.8134648415464527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125.15008588020777</v>
      </c>
      <c r="CH32" s="127">
        <f t="shared" ca="1" si="48"/>
        <v>4.8478766418894912</v>
      </c>
      <c r="CI32" s="127">
        <f t="shared" ca="1" si="67"/>
        <v>127.46943901783089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124.33723938124062</v>
      </c>
      <c r="DT32" s="295">
        <f t="shared" ca="1" si="55"/>
        <v>127.37955336156473</v>
      </c>
      <c r="DX32" s="280">
        <f>Transport!$A45</f>
        <v>45047</v>
      </c>
      <c r="DY32" s="13">
        <f t="shared" ca="1" si="58"/>
        <v>1</v>
      </c>
      <c r="DZ32" s="281">
        <f t="shared" ca="1" si="60"/>
        <v>124.33723938124062</v>
      </c>
      <c r="EA32" s="127">
        <f t="shared" ca="1" si="61"/>
        <v>127.39506457963076</v>
      </c>
      <c r="EC32" s="280">
        <f>Transport!$A45</f>
        <v>45047</v>
      </c>
      <c r="ED32" s="13">
        <f t="shared" ca="1" si="63"/>
        <v>1</v>
      </c>
      <c r="EE32" s="281">
        <f t="shared" ca="1" si="64"/>
        <v>124.33723938124062</v>
      </c>
      <c r="EF32" s="127">
        <f t="shared" ca="1" si="69"/>
        <v>127.43351908015683</v>
      </c>
      <c r="EH32" s="280">
        <f>Transport!$A45</f>
        <v>45047</v>
      </c>
      <c r="EI32" s="13">
        <f t="shared" ca="1" si="71"/>
        <v>1</v>
      </c>
      <c r="EJ32" s="281">
        <f t="shared" ca="1" si="72"/>
        <v>124.33723938124062</v>
      </c>
      <c r="EK32" s="127">
        <f t="shared" ca="1" si="73"/>
        <v>126.20264822429688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126.52959469531471</v>
      </c>
      <c r="M33" s="574">
        <f ca="1">Transport!J46</f>
        <v>126.52959469531471</v>
      </c>
      <c r="N33" s="120"/>
      <c r="O33">
        <f t="shared" ca="1" si="8"/>
        <v>1</v>
      </c>
      <c r="P33" s="241">
        <f t="shared" ca="1" si="9"/>
        <v>124.63249091512523</v>
      </c>
      <c r="Q33" s="73">
        <f t="shared" ca="1" si="10"/>
        <v>124.63249091512523</v>
      </c>
      <c r="S33">
        <f t="shared" ca="1" si="11"/>
        <v>1</v>
      </c>
      <c r="T33" s="73">
        <f t="shared" ca="1" si="12"/>
        <v>125.96616974760786</v>
      </c>
      <c r="U33" s="73">
        <f t="shared" ca="1" si="13"/>
        <v>125.96616974760786</v>
      </c>
      <c r="V33" s="2">
        <v>27</v>
      </c>
      <c r="X33" s="121">
        <f>Transport!$A46</f>
        <v>45078</v>
      </c>
      <c r="Y33" s="73">
        <f t="shared" ca="1" si="0"/>
        <v>126.52959469531471</v>
      </c>
      <c r="Z33" s="15">
        <f t="shared" ca="1" si="14"/>
        <v>4.840476230966094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130.69285823608453</v>
      </c>
      <c r="AE33" s="127">
        <f t="shared" ca="1" si="18"/>
        <v>4.8489206187197809</v>
      </c>
      <c r="AF33" s="127">
        <f t="shared" ca="1" si="19"/>
        <v>127.60258364659656</v>
      </c>
      <c r="AH33" s="121">
        <f>Transport!$A46</f>
        <v>45078</v>
      </c>
      <c r="AI33" s="73">
        <f t="shared" ca="1" si="20"/>
        <v>124.63249091512523</v>
      </c>
      <c r="AJ33" s="15">
        <f t="shared" ca="1" si="21"/>
        <v>4.8253693341195438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130.28497202122767</v>
      </c>
      <c r="AO33" s="127">
        <f t="shared" ca="1" si="25"/>
        <v>4.8541191697887482</v>
      </c>
      <c r="AP33" s="127">
        <f t="shared" ca="1" si="56"/>
        <v>128.26765941157839</v>
      </c>
      <c r="AR33" s="121">
        <f>Transport!$A46</f>
        <v>45078</v>
      </c>
      <c r="AS33" s="73">
        <f t="shared" ca="1" si="57"/>
        <v>124.63249091512523</v>
      </c>
      <c r="AT33" s="15">
        <f t="shared" ca="1" si="26"/>
        <v>4.8253693341195438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130.28497202122767</v>
      </c>
      <c r="AY33" s="127">
        <f t="shared" ca="1" si="30"/>
        <v>4.8546670368420966</v>
      </c>
      <c r="AZ33" s="127">
        <f t="shared" ca="1" si="59"/>
        <v>128.33795228999793</v>
      </c>
      <c r="BB33" s="121">
        <f>Transport!$A46</f>
        <v>45078</v>
      </c>
      <c r="BC33" s="73">
        <f t="shared" ca="1" si="62"/>
        <v>124.63249091512523</v>
      </c>
      <c r="BD33" s="15">
        <f t="shared" ca="1" si="31"/>
        <v>4.8253693341195438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130.28497202122767</v>
      </c>
      <c r="BI33" s="127">
        <f t="shared" ca="1" si="35"/>
        <v>4.8545818794744537</v>
      </c>
      <c r="BJ33" s="127">
        <f t="shared" ca="1" si="65"/>
        <v>128.32702383313818</v>
      </c>
      <c r="BL33" s="121">
        <f>Transport!$A46</f>
        <v>45078</v>
      </c>
      <c r="BM33" s="73">
        <f t="shared" ca="1" si="70"/>
        <v>124.63249091512523</v>
      </c>
      <c r="BN33" s="15">
        <f t="shared" ca="1" si="36"/>
        <v>4.8253693341195438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130.28497202122767</v>
      </c>
      <c r="BS33" s="127">
        <f t="shared" ca="1" si="40"/>
        <v>4.8482476187014454</v>
      </c>
      <c r="BT33" s="127">
        <f t="shared" ca="1" si="66"/>
        <v>127.51673599643806</v>
      </c>
      <c r="BZ33" s="583">
        <f t="shared" si="42"/>
        <v>1</v>
      </c>
      <c r="CA33" s="121">
        <f>Transport!$A46</f>
        <v>45078</v>
      </c>
      <c r="CB33" s="73">
        <f t="shared" ca="1" si="43"/>
        <v>124.63249091512523</v>
      </c>
      <c r="CC33" s="15">
        <f t="shared" ca="1" si="44"/>
        <v>4.8253693341195438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130.28497202122767</v>
      </c>
      <c r="CH33" s="127">
        <f t="shared" ca="1" si="48"/>
        <v>4.8550731761317119</v>
      </c>
      <c r="CI33" s="127">
        <f t="shared" ca="1" si="67"/>
        <v>128.3900859608211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126.52959469531471</v>
      </c>
      <c r="DT33" s="295">
        <f t="shared" ca="1" si="55"/>
        <v>128.26765941157839</v>
      </c>
      <c r="DX33" s="280">
        <f>Transport!$A46</f>
        <v>45078</v>
      </c>
      <c r="DY33" s="13">
        <f t="shared" ca="1" si="58"/>
        <v>1</v>
      </c>
      <c r="DZ33" s="281">
        <f t="shared" ca="1" si="60"/>
        <v>126.52959469531471</v>
      </c>
      <c r="EA33" s="127">
        <f t="shared" ca="1" si="61"/>
        <v>128.33795228999793</v>
      </c>
      <c r="EC33" s="280">
        <f>Transport!$A46</f>
        <v>45078</v>
      </c>
      <c r="ED33" s="13">
        <f t="shared" ca="1" si="63"/>
        <v>1</v>
      </c>
      <c r="EE33" s="281">
        <f t="shared" ca="1" si="64"/>
        <v>126.52959469531471</v>
      </c>
      <c r="EF33" s="127">
        <f t="shared" ca="1" si="69"/>
        <v>128.32702383313818</v>
      </c>
      <c r="EH33" s="280">
        <f>Transport!$A46</f>
        <v>45078</v>
      </c>
      <c r="EI33" s="13">
        <f t="shared" ca="1" si="71"/>
        <v>1</v>
      </c>
      <c r="EJ33" s="281">
        <f t="shared" ca="1" si="72"/>
        <v>126.52959469531471</v>
      </c>
      <c r="EK33" s="127">
        <f t="shared" ca="1" si="73"/>
        <v>127.51673599643806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123.03063866882034</v>
      </c>
      <c r="M34" s="574">
        <f ca="1">Transport!J47</f>
        <v>123.03063866882034</v>
      </c>
      <c r="N34" s="120"/>
      <c r="O34">
        <f t="shared" ca="1" si="8"/>
        <v>1</v>
      </c>
      <c r="P34" s="241">
        <f t="shared" ca="1" si="9"/>
        <v>127.85148797899774</v>
      </c>
      <c r="Q34" s="73">
        <f t="shared" ca="1" si="10"/>
        <v>127.85148797899774</v>
      </c>
      <c r="S34">
        <f t="shared" ca="1" si="11"/>
        <v>1</v>
      </c>
      <c r="T34" s="73">
        <f t="shared" ca="1" si="12"/>
        <v>131.05151867310096</v>
      </c>
      <c r="U34" s="73">
        <f t="shared" ca="1" si="13"/>
        <v>131.05151867310096</v>
      </c>
      <c r="V34" s="2">
        <v>28</v>
      </c>
      <c r="X34" s="121">
        <f>Transport!$A47</f>
        <v>45108</v>
      </c>
      <c r="Y34" s="73">
        <f t="shared" ca="1" si="0"/>
        <v>123.03063866882034</v>
      </c>
      <c r="Z34" s="15">
        <f t="shared" ca="1" si="14"/>
        <v>4.8124334192219003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134.74813573821319</v>
      </c>
      <c r="AE34" s="127">
        <f t="shared" ca="1" si="18"/>
        <v>4.8558254240412451</v>
      </c>
      <c r="AF34" s="127">
        <f t="shared" ca="1" si="19"/>
        <v>128.4867034701935</v>
      </c>
      <c r="AH34" s="121">
        <f>Transport!$A47</f>
        <v>45108</v>
      </c>
      <c r="AI34" s="73">
        <f t="shared" ca="1" si="20"/>
        <v>127.85148797899774</v>
      </c>
      <c r="AJ34" s="15">
        <f t="shared" ca="1" si="21"/>
        <v>4.8508693401442269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135.82434152403835</v>
      </c>
      <c r="AO34" s="127">
        <f t="shared" ca="1" si="25"/>
        <v>4.8610671009870661</v>
      </c>
      <c r="AP34" s="127">
        <f t="shared" ca="1" si="56"/>
        <v>129.16195744716006</v>
      </c>
      <c r="AR34" s="121">
        <f>Transport!$A47</f>
        <v>45108</v>
      </c>
      <c r="AS34" s="73">
        <f t="shared" ca="1" si="57"/>
        <v>127.85148797899774</v>
      </c>
      <c r="AT34" s="15">
        <f t="shared" ca="1" si="26"/>
        <v>4.8508693401442269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135.82434152403835</v>
      </c>
      <c r="AY34" s="127">
        <f t="shared" ca="1" si="30"/>
        <v>4.8620410708598651</v>
      </c>
      <c r="AZ34" s="127">
        <f t="shared" ca="1" si="59"/>
        <v>129.28781858495401</v>
      </c>
      <c r="BB34" s="121">
        <f>Transport!$A47</f>
        <v>45108</v>
      </c>
      <c r="BC34" s="73">
        <f t="shared" ca="1" si="62"/>
        <v>127.85148797899774</v>
      </c>
      <c r="BD34" s="15">
        <f t="shared" ca="1" si="31"/>
        <v>4.8508693401442269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135.82434152403835</v>
      </c>
      <c r="BI34" s="127">
        <f t="shared" ca="1" si="35"/>
        <v>4.8615689493157381</v>
      </c>
      <c r="BJ34" s="127">
        <f t="shared" ca="1" si="65"/>
        <v>129.22679342718627</v>
      </c>
      <c r="BL34" s="121">
        <f>Transport!$A47</f>
        <v>45108</v>
      </c>
      <c r="BM34" s="73">
        <f t="shared" ca="1" si="70"/>
        <v>127.85148797899774</v>
      </c>
      <c r="BN34" s="15">
        <f t="shared" ca="1" si="36"/>
        <v>4.8508693401442269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135.82434152403835</v>
      </c>
      <c r="BS34" s="127">
        <f t="shared" ca="1" si="40"/>
        <v>4.8586063031712792</v>
      </c>
      <c r="BT34" s="127">
        <f t="shared" ca="1" si="66"/>
        <v>128.84450673559436</v>
      </c>
      <c r="BZ34" s="583">
        <f t="shared" si="42"/>
        <v>1</v>
      </c>
      <c r="CA34" s="121">
        <f>Transport!$A47</f>
        <v>45108</v>
      </c>
      <c r="CB34" s="73">
        <f t="shared" ca="1" si="43"/>
        <v>127.85148797899774</v>
      </c>
      <c r="CC34" s="15">
        <f t="shared" ca="1" si="44"/>
        <v>4.8508693401442269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135.82434152403835</v>
      </c>
      <c r="CH34" s="127">
        <f t="shared" ca="1" si="48"/>
        <v>4.8622697103739325</v>
      </c>
      <c r="CI34" s="127">
        <f t="shared" ca="1" si="67"/>
        <v>129.31738226855444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123.03063866882034</v>
      </c>
      <c r="DT34" s="295">
        <f t="shared" ca="1" si="55"/>
        <v>129.16195744716006</v>
      </c>
      <c r="DX34" s="280">
        <f>Transport!$A47</f>
        <v>45108</v>
      </c>
      <c r="DY34" s="13">
        <f t="shared" ca="1" si="58"/>
        <v>1</v>
      </c>
      <c r="DZ34" s="281">
        <f t="shared" ca="1" si="60"/>
        <v>123.03063866882034</v>
      </c>
      <c r="EA34" s="127">
        <f t="shared" ca="1" si="61"/>
        <v>129.28781858495401</v>
      </c>
      <c r="EC34" s="280">
        <f>Transport!$A47</f>
        <v>45108</v>
      </c>
      <c r="ED34" s="13">
        <f t="shared" ca="1" si="63"/>
        <v>1</v>
      </c>
      <c r="EE34" s="281">
        <f t="shared" ca="1" si="64"/>
        <v>123.03063866882034</v>
      </c>
      <c r="EF34" s="127">
        <f t="shared" ca="1" si="69"/>
        <v>129.22679342718627</v>
      </c>
      <c r="EH34" s="280">
        <f>Transport!$A47</f>
        <v>45108</v>
      </c>
      <c r="EI34" s="13">
        <f t="shared" ca="1" si="71"/>
        <v>1</v>
      </c>
      <c r="EJ34" s="281">
        <f t="shared" ca="1" si="72"/>
        <v>123.03063866882034</v>
      </c>
      <c r="EK34" s="127">
        <f t="shared" ca="1" si="73"/>
        <v>128.84450673559436</v>
      </c>
    </row>
    <row r="35" spans="1:141" x14ac:dyDescent="0.2">
      <c r="B35" s="121">
        <f>+BX12</f>
        <v>44621</v>
      </c>
      <c r="C35" s="121" t="s">
        <v>815</v>
      </c>
      <c r="D35" s="121">
        <f>+BX13</f>
        <v>45200</v>
      </c>
      <c r="E35" s="70">
        <f ca="1">+CB56</f>
        <v>9.0196996785068206E-2</v>
      </c>
      <c r="F35" s="70">
        <f ca="1">+CB118</f>
        <v>9.0196996785068206E-2</v>
      </c>
      <c r="G35" s="70">
        <f ca="1">+CB180</f>
        <v>9.3393927014328915E-2</v>
      </c>
      <c r="H35" s="70">
        <f ca="1">+CB242</f>
        <v>9.3393927014328915E-2</v>
      </c>
      <c r="J35" s="228">
        <f t="shared" ca="1" si="7"/>
        <v>1</v>
      </c>
      <c r="K35" s="121">
        <f>Transport!$A48</f>
        <v>45139</v>
      </c>
      <c r="L35" s="73">
        <f ca="1">Transport!$F48</f>
        <v>133.99423057285816</v>
      </c>
      <c r="M35" s="574">
        <f ca="1">Transport!J48</f>
        <v>133.99423057285816</v>
      </c>
      <c r="N35" s="120"/>
      <c r="O35">
        <f t="shared" ca="1" si="8"/>
        <v>1</v>
      </c>
      <c r="P35" s="241">
        <f t="shared" ca="1" si="9"/>
        <v>128.77473881459727</v>
      </c>
      <c r="Q35" s="73">
        <f t="shared" ca="1" si="10"/>
        <v>128.77473881459727</v>
      </c>
      <c r="S35">
        <f t="shared" ca="1" si="11"/>
        <v>1</v>
      </c>
      <c r="T35" s="73">
        <f t="shared" ca="1" si="12"/>
        <v>134.25441945718367</v>
      </c>
      <c r="U35" s="73">
        <f t="shared" ca="1" si="13"/>
        <v>134.25441945718367</v>
      </c>
      <c r="V35" s="2">
        <v>29</v>
      </c>
      <c r="X35" s="121">
        <f>Transport!$A48</f>
        <v>45139</v>
      </c>
      <c r="Y35" s="73">
        <f t="shared" ca="1" si="0"/>
        <v>133.99423057285816</v>
      </c>
      <c r="Z35" s="15">
        <f t="shared" ca="1" si="14"/>
        <v>4.897796743597568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142.03610556432946</v>
      </c>
      <c r="AE35" s="127">
        <f t="shared" ca="1" si="18"/>
        <v>4.8627302293627093</v>
      </c>
      <c r="AF35" s="127">
        <f t="shared" ca="1" si="19"/>
        <v>129.37694909344228</v>
      </c>
      <c r="AH35" s="121">
        <f>Transport!$A48</f>
        <v>45139</v>
      </c>
      <c r="AI35" s="73">
        <f t="shared" ca="1" si="20"/>
        <v>128.77473881459727</v>
      </c>
      <c r="AJ35" s="15">
        <f t="shared" ca="1" si="21"/>
        <v>4.8580646672189358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140.88387534934913</v>
      </c>
      <c r="AO35" s="127">
        <f t="shared" ca="1" si="25"/>
        <v>4.8680150321853848</v>
      </c>
      <c r="AP35" s="127">
        <f t="shared" ca="1" si="56"/>
        <v>130.06249063960141</v>
      </c>
      <c r="AR35" s="121">
        <f>Transport!$A48</f>
        <v>45139</v>
      </c>
      <c r="AS35" s="73">
        <f t="shared" ca="1" si="57"/>
        <v>128.77473881459727</v>
      </c>
      <c r="AT35" s="15">
        <f t="shared" ca="1" si="26"/>
        <v>4.8580646672189358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140.88387534934913</v>
      </c>
      <c r="AY35" s="127">
        <f t="shared" ca="1" si="30"/>
        <v>4.8694151048776328</v>
      </c>
      <c r="AZ35" s="127">
        <f t="shared" ca="1" si="59"/>
        <v>130.24471511502122</v>
      </c>
      <c r="BB35" s="121">
        <f>Transport!$A48</f>
        <v>45139</v>
      </c>
      <c r="BC35" s="73">
        <f t="shared" ca="1" si="62"/>
        <v>128.77473881459727</v>
      </c>
      <c r="BD35" s="15">
        <f t="shared" ca="1" si="31"/>
        <v>4.8580646672189358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140.88387534934913</v>
      </c>
      <c r="BI35" s="127">
        <f t="shared" ca="1" si="35"/>
        <v>4.8685560191570216</v>
      </c>
      <c r="BJ35" s="127">
        <f t="shared" ca="1" si="65"/>
        <v>130.13287178846184</v>
      </c>
      <c r="BL35" s="121">
        <f>Transport!$A48</f>
        <v>45139</v>
      </c>
      <c r="BM35" s="73">
        <f t="shared" ca="1" si="70"/>
        <v>128.77473881459727</v>
      </c>
      <c r="BN35" s="15">
        <f t="shared" ca="1" si="36"/>
        <v>4.8580646672189358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140.88387534934913</v>
      </c>
      <c r="BS35" s="127">
        <f t="shared" ca="1" si="40"/>
        <v>4.8689649876411139</v>
      </c>
      <c r="BT35" s="127">
        <f t="shared" ca="1" si="66"/>
        <v>130.18610291595257</v>
      </c>
      <c r="BZ35" s="583">
        <f t="shared" si="42"/>
        <v>1</v>
      </c>
      <c r="CA35" s="121">
        <f>Transport!$A48</f>
        <v>45139</v>
      </c>
      <c r="CB35" s="73">
        <f t="shared" ca="1" si="43"/>
        <v>128.77473881459727</v>
      </c>
      <c r="CC35" s="15">
        <f t="shared" ca="1" si="44"/>
        <v>4.8580646672189358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140.88387534934913</v>
      </c>
      <c r="CH35" s="127">
        <f t="shared" ca="1" si="48"/>
        <v>4.8694662446161532</v>
      </c>
      <c r="CI35" s="127">
        <f t="shared" ca="1" si="67"/>
        <v>130.25137596601149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133.99423057285816</v>
      </c>
      <c r="DT35" s="295">
        <f t="shared" ca="1" si="55"/>
        <v>130.06249063960141</v>
      </c>
      <c r="DX35" s="280">
        <f>Transport!$A48</f>
        <v>45139</v>
      </c>
      <c r="DY35" s="13">
        <f t="shared" ca="1" si="58"/>
        <v>1</v>
      </c>
      <c r="DZ35" s="281">
        <f t="shared" ca="1" si="60"/>
        <v>133.99423057285816</v>
      </c>
      <c r="EA35" s="127">
        <f t="shared" ca="1" si="61"/>
        <v>130.24471511502122</v>
      </c>
      <c r="EC35" s="280">
        <f>Transport!$A48</f>
        <v>45139</v>
      </c>
      <c r="ED35" s="13">
        <f t="shared" ca="1" si="63"/>
        <v>1</v>
      </c>
      <c r="EE35" s="281">
        <f t="shared" ca="1" si="64"/>
        <v>133.99423057285816</v>
      </c>
      <c r="EF35" s="127">
        <f t="shared" ca="1" si="69"/>
        <v>130.13287178846184</v>
      </c>
      <c r="EH35" s="280">
        <f>Transport!$A48</f>
        <v>45139</v>
      </c>
      <c r="EI35" s="13">
        <f t="shared" ca="1" si="71"/>
        <v>1</v>
      </c>
      <c r="EJ35" s="281">
        <f t="shared" ca="1" si="72"/>
        <v>133.99423057285816</v>
      </c>
      <c r="EK35" s="127">
        <f t="shared" ca="1" si="73"/>
        <v>130.18610291595257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129.29934720211332</v>
      </c>
      <c r="M36" s="574">
        <f ca="1">Transport!J49</f>
        <v>129.29934720211332</v>
      </c>
      <c r="N36" s="120"/>
      <c r="O36">
        <f t="shared" ca="1" si="8"/>
        <v>1</v>
      </c>
      <c r="P36" s="241">
        <f t="shared" ca="1" si="9"/>
        <v>137.47054643107666</v>
      </c>
      <c r="Q36" s="73">
        <f t="shared" ca="1" si="10"/>
        <v>137.47054643107666</v>
      </c>
      <c r="S36">
        <f t="shared" ca="1" si="11"/>
        <v>1</v>
      </c>
      <c r="T36" s="73">
        <f t="shared" ca="1" si="12"/>
        <v>135.2651104859097</v>
      </c>
      <c r="U36" s="73">
        <f t="shared" ca="1" si="13"/>
        <v>135.2651104859097</v>
      </c>
      <c r="V36" s="2">
        <v>30</v>
      </c>
      <c r="X36" s="121">
        <f>Transport!$A49</f>
        <v>45170</v>
      </c>
      <c r="Y36" s="73">
        <f t="shared" ca="1" si="0"/>
        <v>129.29934720211332</v>
      </c>
      <c r="Z36" s="15">
        <f t="shared" ca="1" si="14"/>
        <v>4.8621302370575137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145.86390711172541</v>
      </c>
      <c r="AE36" s="127">
        <f t="shared" ca="1" si="18"/>
        <v>4.8696350346841744</v>
      </c>
      <c r="AF36" s="127">
        <f t="shared" ca="1" si="19"/>
        <v>130.27336296016156</v>
      </c>
      <c r="AH36" s="121">
        <f>Transport!$A49</f>
        <v>45170</v>
      </c>
      <c r="AI36" s="73">
        <f t="shared" ca="1" si="20"/>
        <v>137.47054643107666</v>
      </c>
      <c r="AJ36" s="15">
        <f t="shared" ca="1" si="21"/>
        <v>4.9234096863868757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147.70229059160627</v>
      </c>
      <c r="AO36" s="127">
        <f t="shared" ca="1" si="25"/>
        <v>4.8749629633837026</v>
      </c>
      <c r="AP36" s="127">
        <f t="shared" ca="1" si="56"/>
        <v>130.9693024611895</v>
      </c>
      <c r="AR36" s="121">
        <f>Transport!$A49</f>
        <v>45170</v>
      </c>
      <c r="AS36" s="73">
        <f t="shared" ca="1" si="57"/>
        <v>137.47054643107666</v>
      </c>
      <c r="AT36" s="15">
        <f t="shared" ca="1" si="26"/>
        <v>4.9234096863868757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147.70229059160627</v>
      </c>
      <c r="AY36" s="127">
        <f t="shared" ca="1" si="30"/>
        <v>4.8767891388954006</v>
      </c>
      <c r="AZ36" s="127">
        <f t="shared" ca="1" si="59"/>
        <v>131.20869391300258</v>
      </c>
      <c r="BB36" s="121">
        <f>Transport!$A49</f>
        <v>45170</v>
      </c>
      <c r="BC36" s="73">
        <f t="shared" ca="1" si="62"/>
        <v>137.47054643107666</v>
      </c>
      <c r="BD36" s="15">
        <f t="shared" ca="1" si="31"/>
        <v>4.9234096863868757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147.70229059160627</v>
      </c>
      <c r="BI36" s="127">
        <f t="shared" ca="1" si="35"/>
        <v>4.875543088998306</v>
      </c>
      <c r="BJ36" s="127">
        <f t="shared" ca="1" si="65"/>
        <v>131.04530315111597</v>
      </c>
      <c r="BL36" s="121">
        <f>Transport!$A49</f>
        <v>45170</v>
      </c>
      <c r="BM36" s="73">
        <f t="shared" ca="1" si="70"/>
        <v>137.47054643107666</v>
      </c>
      <c r="BN36" s="15">
        <f t="shared" ca="1" si="36"/>
        <v>4.9234096863868757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147.70229059160627</v>
      </c>
      <c r="BS36" s="127">
        <f t="shared" ca="1" si="40"/>
        <v>4.8793236721109476</v>
      </c>
      <c r="BT36" s="127">
        <f t="shared" ca="1" si="66"/>
        <v>131.54166849521445</v>
      </c>
      <c r="BZ36" s="583">
        <f t="shared" si="42"/>
        <v>1</v>
      </c>
      <c r="CA36" s="121">
        <f>Transport!$A49</f>
        <v>45170</v>
      </c>
      <c r="CB36" s="73">
        <f t="shared" ca="1" si="43"/>
        <v>137.47054643107666</v>
      </c>
      <c r="CC36" s="15">
        <f t="shared" ca="1" si="44"/>
        <v>4.9234096863868757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147.70229059160627</v>
      </c>
      <c r="CH36" s="127">
        <f t="shared" ca="1" si="48"/>
        <v>4.8766627788583738</v>
      </c>
      <c r="CI36" s="127">
        <f t="shared" ca="1" si="67"/>
        <v>131.19211542503274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129.29934720211332</v>
      </c>
      <c r="DT36" s="295">
        <f t="shared" ca="1" si="55"/>
        <v>130.9693024611895</v>
      </c>
      <c r="DX36" s="280">
        <f>Transport!$A49</f>
        <v>45170</v>
      </c>
      <c r="DY36" s="13">
        <f t="shared" ca="1" si="58"/>
        <v>1</v>
      </c>
      <c r="DZ36" s="281">
        <f t="shared" ca="1" si="60"/>
        <v>129.29934720211332</v>
      </c>
      <c r="EA36" s="127">
        <f t="shared" ca="1" si="61"/>
        <v>131.20869391300258</v>
      </c>
      <c r="EC36" s="280">
        <f>Transport!$A49</f>
        <v>45170</v>
      </c>
      <c r="ED36" s="13">
        <f t="shared" ca="1" si="63"/>
        <v>1</v>
      </c>
      <c r="EE36" s="281">
        <f t="shared" ca="1" si="64"/>
        <v>129.29934720211332</v>
      </c>
      <c r="EF36" s="127">
        <f t="shared" ca="1" si="69"/>
        <v>131.04530315111597</v>
      </c>
      <c r="EH36" s="280">
        <f>Transport!$A49</f>
        <v>45170</v>
      </c>
      <c r="EI36" s="13">
        <f t="shared" ca="1" si="71"/>
        <v>1</v>
      </c>
      <c r="EJ36" s="281">
        <f t="shared" ca="1" si="72"/>
        <v>129.29934720211332</v>
      </c>
      <c r="EK36" s="127">
        <f t="shared" ca="1" si="73"/>
        <v>131.54166849521445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149.11806151825849</v>
      </c>
      <c r="M37" s="574">
        <f ca="1">Transport!J50</f>
        <v>149.11806151825849</v>
      </c>
      <c r="N37" s="120"/>
      <c r="O37">
        <f t="shared" ca="1" si="8"/>
        <v>1</v>
      </c>
      <c r="P37" s="241">
        <f t="shared" ca="1" si="9"/>
        <v>140.65735093536958</v>
      </c>
      <c r="Q37" s="73">
        <f t="shared" ca="1" si="10"/>
        <v>140.65735093536958</v>
      </c>
      <c r="S37">
        <f t="shared" ca="1" si="11"/>
        <v>1</v>
      </c>
      <c r="T37" s="73">
        <f t="shared" ca="1" si="12"/>
        <v>135.92826484381277</v>
      </c>
      <c r="U37" s="73">
        <f t="shared" ca="1" si="13"/>
        <v>135.92826484381277</v>
      </c>
      <c r="V37" s="2">
        <v>31</v>
      </c>
      <c r="X37" s="121">
        <f>Transport!$A50</f>
        <v>45200</v>
      </c>
      <c r="Y37" s="73">
        <f t="shared" ca="1" si="0"/>
        <v>149.11806151825849</v>
      </c>
      <c r="Z37" s="15">
        <f t="shared" ca="1" si="14"/>
        <v>5.0047383513775889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155.14688889270525</v>
      </c>
      <c r="AE37" s="127">
        <f t="shared" ca="1" si="18"/>
        <v>4.8765398400056386</v>
      </c>
      <c r="AF37" s="127">
        <f t="shared" ca="1" si="19"/>
        <v>131.17598780825011</v>
      </c>
      <c r="AH37" s="121">
        <f>Transport!$A50</f>
        <v>45200</v>
      </c>
      <c r="AI37" s="73">
        <f t="shared" ca="1" si="20"/>
        <v>140.65735093536958</v>
      </c>
      <c r="AJ37" s="15">
        <f t="shared" ca="1" si="21"/>
        <v>4.9463267975969503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153.33613072550546</v>
      </c>
      <c r="AO37" s="127">
        <f t="shared" ca="1" si="25"/>
        <v>4.8819108945820213</v>
      </c>
      <c r="AP37" s="127">
        <f t="shared" ca="1" si="56"/>
        <v>131.8824366873059</v>
      </c>
      <c r="AR37" s="121">
        <f>Transport!$A50</f>
        <v>45200</v>
      </c>
      <c r="AS37" s="73">
        <f t="shared" ca="1" si="57"/>
        <v>140.65735093536958</v>
      </c>
      <c r="AT37" s="15">
        <f t="shared" ca="1" si="26"/>
        <v>4.9463267975969503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153.33613072550546</v>
      </c>
      <c r="AY37" s="127">
        <f t="shared" ca="1" si="30"/>
        <v>4.8841631729131683</v>
      </c>
      <c r="AZ37" s="127">
        <f t="shared" ca="1" si="59"/>
        <v>132.17980739681079</v>
      </c>
      <c r="BB37" s="121">
        <f>Transport!$A50</f>
        <v>45200</v>
      </c>
      <c r="BC37" s="73">
        <f t="shared" ca="1" si="62"/>
        <v>140.65735093536958</v>
      </c>
      <c r="BD37" s="15">
        <f t="shared" ca="1" si="31"/>
        <v>4.9463267975969503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153.33613072550546</v>
      </c>
      <c r="BI37" s="127">
        <f t="shared" ca="1" si="35"/>
        <v>4.8825301588395895</v>
      </c>
      <c r="BJ37" s="127">
        <f t="shared" ca="1" si="65"/>
        <v>131.96413205944859</v>
      </c>
      <c r="BL37" s="121">
        <f>Transport!$A50</f>
        <v>45200</v>
      </c>
      <c r="BM37" s="73">
        <f t="shared" ca="1" si="70"/>
        <v>140.65735093536958</v>
      </c>
      <c r="BN37" s="15">
        <f t="shared" ca="1" si="36"/>
        <v>4.9463267975969503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153.33613072550546</v>
      </c>
      <c r="BS37" s="127">
        <f t="shared" ca="1" si="40"/>
        <v>4.8896823565807823</v>
      </c>
      <c r="BT37" s="127">
        <f t="shared" ca="1" si="66"/>
        <v>132.91134893004491</v>
      </c>
      <c r="BZ37" s="583">
        <f t="shared" si="42"/>
        <v>1</v>
      </c>
      <c r="CA37" s="121">
        <f>Transport!$A50</f>
        <v>45200</v>
      </c>
      <c r="CB37" s="73">
        <f t="shared" ca="1" si="43"/>
        <v>140.65735093536958</v>
      </c>
      <c r="CC37" s="15">
        <f t="shared" ca="1" si="44"/>
        <v>4.9463267975969503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153.33613072550546</v>
      </c>
      <c r="CH37" s="127">
        <f t="shared" ca="1" si="48"/>
        <v>4.8838593131005945</v>
      </c>
      <c r="CI37" s="127">
        <f t="shared" ca="1" si="67"/>
        <v>132.13964936682387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149.11806151825849</v>
      </c>
      <c r="DT37" s="295">
        <f t="shared" ca="1" si="55"/>
        <v>131.8824366873059</v>
      </c>
      <c r="DX37" s="280">
        <f>Transport!$A50</f>
        <v>45200</v>
      </c>
      <c r="DY37" s="13">
        <f t="shared" ca="1" si="58"/>
        <v>1</v>
      </c>
      <c r="DZ37" s="281">
        <f t="shared" ca="1" si="60"/>
        <v>149.11806151825849</v>
      </c>
      <c r="EA37" s="127">
        <f t="shared" ca="1" si="61"/>
        <v>132.17980739681079</v>
      </c>
      <c r="EC37" s="280">
        <f>Transport!$A50</f>
        <v>45200</v>
      </c>
      <c r="ED37" s="13">
        <f t="shared" ca="1" si="63"/>
        <v>1</v>
      </c>
      <c r="EE37" s="281">
        <f t="shared" ca="1" si="64"/>
        <v>149.11806151825849</v>
      </c>
      <c r="EF37" s="127">
        <f t="shared" ca="1" si="69"/>
        <v>131.96413205944859</v>
      </c>
      <c r="EH37" s="280">
        <f>Transport!$A50</f>
        <v>45200</v>
      </c>
      <c r="EI37" s="13">
        <f t="shared" ca="1" si="71"/>
        <v>1</v>
      </c>
      <c r="EJ37" s="281">
        <f t="shared" ca="1" si="72"/>
        <v>149.11806151825849</v>
      </c>
      <c r="EK37" s="127">
        <f t="shared" ca="1" si="73"/>
        <v>132.91134893004491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143.55464408573698</v>
      </c>
      <c r="M38" s="574">
        <f ca="1">Transport!J51</f>
        <v>143.55464408573698</v>
      </c>
      <c r="N38" s="120"/>
      <c r="O38">
        <f t="shared" ca="1" si="8"/>
        <v>1</v>
      </c>
      <c r="P38" s="241">
        <f t="shared" ca="1" si="9"/>
        <v>141.75548215722213</v>
      </c>
      <c r="Q38" s="73">
        <f t="shared" ca="1" si="10"/>
        <v>141.75548215722213</v>
      </c>
      <c r="S38">
        <f t="shared" ca="1" si="11"/>
        <v>1</v>
      </c>
      <c r="T38" s="73">
        <f t="shared" ca="1" si="12"/>
        <v>133.55976352215552</v>
      </c>
      <c r="U38" s="73">
        <f t="shared" ca="1" si="13"/>
        <v>133.55976352215552</v>
      </c>
      <c r="V38" s="2">
        <v>32</v>
      </c>
      <c r="X38" s="121">
        <f>Transport!$A51</f>
        <v>45231</v>
      </c>
      <c r="Y38" s="73">
        <f t="shared" ca="1" si="0"/>
        <v>143.55464408573698</v>
      </c>
      <c r="Z38" s="15">
        <f t="shared" ca="1" si="14"/>
        <v>4.9667157577382088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158.93490424762268</v>
      </c>
      <c r="AE38" s="127">
        <f t="shared" ca="1" si="18"/>
        <v>4.8834446453271028</v>
      </c>
      <c r="AF38" s="127">
        <f t="shared" ca="1" si="19"/>
        <v>132.08486667172505</v>
      </c>
      <c r="AH38" s="121">
        <f>Transport!$A51</f>
        <v>45231</v>
      </c>
      <c r="AI38" s="73">
        <f t="shared" ca="1" si="20"/>
        <v>141.75548215722213</v>
      </c>
      <c r="AJ38" s="15">
        <f t="shared" ca="1" si="21"/>
        <v>4.9541036166905004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158.53131573409601</v>
      </c>
      <c r="AO38" s="127">
        <f t="shared" ca="1" si="25"/>
        <v>4.8888588257803391</v>
      </c>
      <c r="AP38" s="127">
        <f t="shared" ca="1" si="56"/>
        <v>132.80193739853922</v>
      </c>
      <c r="AR38" s="121">
        <f>Transport!$A51</f>
        <v>45231</v>
      </c>
      <c r="AS38" s="73">
        <f t="shared" ca="1" si="57"/>
        <v>141.75548215722213</v>
      </c>
      <c r="AT38" s="15">
        <f t="shared" ca="1" si="26"/>
        <v>4.9541036166905004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158.53131573409601</v>
      </c>
      <c r="AY38" s="127">
        <f t="shared" ca="1" si="30"/>
        <v>4.891537206930936</v>
      </c>
      <c r="AZ38" s="127">
        <f t="shared" ca="1" si="59"/>
        <v>133.15810837231876</v>
      </c>
      <c r="BB38" s="121">
        <f>Transport!$A51</f>
        <v>45231</v>
      </c>
      <c r="BC38" s="73">
        <f t="shared" ca="1" si="62"/>
        <v>141.75548215722213</v>
      </c>
      <c r="BD38" s="15">
        <f t="shared" ca="1" si="31"/>
        <v>4.9541036166905004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158.53131573409601</v>
      </c>
      <c r="BI38" s="127">
        <f t="shared" ca="1" si="35"/>
        <v>4.8895172286808739</v>
      </c>
      <c r="BJ38" s="127">
        <f t="shared" ca="1" si="65"/>
        <v>132.88940337008407</v>
      </c>
      <c r="BL38" s="121">
        <f>Transport!$A51</f>
        <v>45231</v>
      </c>
      <c r="BM38" s="73">
        <f t="shared" ca="1" si="70"/>
        <v>141.75548215722213</v>
      </c>
      <c r="BN38" s="15">
        <f t="shared" ca="1" si="36"/>
        <v>4.9541036166905004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158.53131573409601</v>
      </c>
      <c r="BS38" s="127">
        <f t="shared" ca="1" si="40"/>
        <v>4.900041041050617</v>
      </c>
      <c r="BT38" s="127">
        <f t="shared" ca="1" si="66"/>
        <v>134.29529119167913</v>
      </c>
      <c r="BZ38" s="583">
        <f t="shared" si="42"/>
        <v>0</v>
      </c>
      <c r="CA38" s="121">
        <f>Transport!$A51</f>
        <v>45231</v>
      </c>
      <c r="CB38" s="73">
        <f t="shared" ca="1" si="43"/>
        <v>0</v>
      </c>
      <c r="CC38" s="15">
        <f t="shared" ca="1" si="44"/>
        <v>0</v>
      </c>
      <c r="CD38" s="98">
        <f t="shared" ca="1" si="45"/>
        <v>0</v>
      </c>
      <c r="CE38" s="128">
        <f ca="1">IF(CD38&gt;0,32,0)</f>
        <v>0</v>
      </c>
      <c r="CF38" s="128">
        <f t="shared" ca="1" si="46"/>
        <v>0</v>
      </c>
      <c r="CG38" s="15">
        <f t="shared" ca="1" si="47"/>
        <v>0</v>
      </c>
      <c r="CH38" s="127">
        <f t="shared" ca="1" si="48"/>
        <v>4.8910558473428152</v>
      </c>
      <c r="CI38" s="127">
        <f t="shared" ca="1" si="67"/>
        <v>133.09402686447919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143.55464408573698</v>
      </c>
      <c r="DT38" s="295">
        <f t="shared" ca="1" si="55"/>
        <v>132.80193739853922</v>
      </c>
      <c r="DX38" s="280">
        <f>Transport!$A51</f>
        <v>45231</v>
      </c>
      <c r="DY38" s="13">
        <f t="shared" ca="1" si="58"/>
        <v>1</v>
      </c>
      <c r="DZ38" s="281">
        <f t="shared" ca="1" si="60"/>
        <v>143.55464408573698</v>
      </c>
      <c r="EA38" s="127">
        <f t="shared" ca="1" si="61"/>
        <v>133.15810837231876</v>
      </c>
      <c r="EC38" s="280">
        <f>Transport!$A51</f>
        <v>45231</v>
      </c>
      <c r="ED38" s="13">
        <f t="shared" ca="1" si="63"/>
        <v>1</v>
      </c>
      <c r="EE38" s="281">
        <f t="shared" ca="1" si="64"/>
        <v>143.55464408573698</v>
      </c>
      <c r="EF38" s="127">
        <f t="shared" ca="1" si="69"/>
        <v>132.88940337008407</v>
      </c>
      <c r="EH38" s="280">
        <f>Transport!$A51</f>
        <v>45231</v>
      </c>
      <c r="EI38" s="13">
        <f t="shared" ca="1" si="71"/>
        <v>1</v>
      </c>
      <c r="EJ38" s="281">
        <f t="shared" ca="1" si="72"/>
        <v>143.55464408573698</v>
      </c>
      <c r="EK38" s="127">
        <f t="shared" ca="1" si="73"/>
        <v>134.29529119167913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132.5937408676709</v>
      </c>
      <c r="M39" s="574">
        <f ca="1">Transport!J52</f>
        <v>132.5937408676709</v>
      </c>
      <c r="N39" s="120"/>
      <c r="O39">
        <f t="shared" ca="1" si="8"/>
        <v>1</v>
      </c>
      <c r="P39" s="241">
        <f t="shared" ca="1" si="9"/>
        <v>134.38598325654885</v>
      </c>
      <c r="Q39" s="73">
        <f t="shared" ca="1" si="10"/>
        <v>134.38598325654885</v>
      </c>
      <c r="S39">
        <f t="shared" ca="1" si="11"/>
        <v>1</v>
      </c>
      <c r="T39" s="73">
        <f t="shared" ca="1" si="12"/>
        <v>135.30653888416967</v>
      </c>
      <c r="U39" s="73">
        <f t="shared" ca="1" si="13"/>
        <v>135.30653888416967</v>
      </c>
      <c r="V39" s="2">
        <v>33</v>
      </c>
      <c r="X39" s="121">
        <f>Transport!$A52</f>
        <v>45261</v>
      </c>
      <c r="Y39" s="73">
        <f t="shared" ca="1" si="0"/>
        <v>132.5937408676709</v>
      </c>
      <c r="Z39" s="15">
        <f t="shared" ca="1" si="14"/>
        <v>4.8872898735280899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161.28056582642697</v>
      </c>
      <c r="AE39" s="127">
        <f t="shared" ca="1" si="18"/>
        <v>4.8903494506485679</v>
      </c>
      <c r="AF39" s="127">
        <f t="shared" ca="1" si="19"/>
        <v>133.00004288277319</v>
      </c>
      <c r="AH39" s="121">
        <f>Transport!$A52</f>
        <v>45261</v>
      </c>
      <c r="AI39" s="73">
        <f t="shared" ca="1" si="20"/>
        <v>134.38598325654885</v>
      </c>
      <c r="AJ39" s="15">
        <f t="shared" ca="1" si="21"/>
        <v>4.9007161314044225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161.72363233634593</v>
      </c>
      <c r="AO39" s="127">
        <f t="shared" ca="1" si="25"/>
        <v>4.8958067569786579</v>
      </c>
      <c r="AP39" s="127">
        <f t="shared" ca="1" si="56"/>
        <v>133.72784898281378</v>
      </c>
      <c r="AR39" s="121">
        <f>Transport!$A52</f>
        <v>45261</v>
      </c>
      <c r="AS39" s="73">
        <f t="shared" ca="1" si="57"/>
        <v>134.38598325654885</v>
      </c>
      <c r="AT39" s="15">
        <f t="shared" ca="1" si="26"/>
        <v>4.9007161314044225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161.72363233634593</v>
      </c>
      <c r="AY39" s="127">
        <f t="shared" ca="1" si="30"/>
        <v>4.8989112409487037</v>
      </c>
      <c r="AZ39" s="127">
        <f t="shared" ca="1" si="59"/>
        <v>134.14365003623089</v>
      </c>
      <c r="BB39" s="121">
        <f>Transport!$A52</f>
        <v>45261</v>
      </c>
      <c r="BC39" s="73">
        <f t="shared" ca="1" si="62"/>
        <v>134.38598325654885</v>
      </c>
      <c r="BD39" s="15">
        <f t="shared" ca="1" si="31"/>
        <v>4.9007161314044225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161.72363233634593</v>
      </c>
      <c r="BI39" s="127">
        <f t="shared" ca="1" si="35"/>
        <v>4.8965042985221574</v>
      </c>
      <c r="BJ39" s="127">
        <f t="shared" ca="1" si="65"/>
        <v>133.82116225416021</v>
      </c>
      <c r="BL39" s="121">
        <f>Transport!$A52</f>
        <v>45261</v>
      </c>
      <c r="BM39" s="73">
        <f t="shared" ca="1" si="70"/>
        <v>134.38598325654885</v>
      </c>
      <c r="BN39" s="15">
        <f t="shared" ca="1" si="36"/>
        <v>4.9007161314044225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161.72363233634593</v>
      </c>
      <c r="BS39" s="127">
        <f t="shared" ca="1" si="40"/>
        <v>4.9103997255204508</v>
      </c>
      <c r="BT39" s="127">
        <f t="shared" ca="1" si="66"/>
        <v>135.69364378169342</v>
      </c>
      <c r="BZ39" s="583">
        <f t="shared" si="42"/>
        <v>0</v>
      </c>
      <c r="CA39" s="121">
        <f>Transport!$A52</f>
        <v>45261</v>
      </c>
      <c r="CB39" s="73">
        <f t="shared" ca="1" si="43"/>
        <v>0</v>
      </c>
      <c r="CC39" s="15">
        <f t="shared" ca="1" si="44"/>
        <v>0</v>
      </c>
      <c r="CD39" s="98">
        <f t="shared" ca="1" si="45"/>
        <v>0</v>
      </c>
      <c r="CE39" s="128">
        <f ca="1">IF(CD39&gt;0,33,0)</f>
        <v>0</v>
      </c>
      <c r="CF39" s="128">
        <f t="shared" ca="1" si="46"/>
        <v>0</v>
      </c>
      <c r="CG39" s="15">
        <f t="shared" ca="1" si="47"/>
        <v>0</v>
      </c>
      <c r="CH39" s="127">
        <f t="shared" ca="1" si="48"/>
        <v>4.8982523815850358</v>
      </c>
      <c r="CI39" s="127">
        <f t="shared" ca="1" si="67"/>
        <v>134.05529734552286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132.5937408676709</v>
      </c>
      <c r="DT39" s="295">
        <f t="shared" ca="1" si="55"/>
        <v>133.72784898281378</v>
      </c>
      <c r="DX39" s="280">
        <f>Transport!$A52</f>
        <v>45261</v>
      </c>
      <c r="DY39" s="13">
        <f t="shared" ca="1" si="58"/>
        <v>1</v>
      </c>
      <c r="DZ39" s="281">
        <f t="shared" ca="1" si="60"/>
        <v>132.5937408676709</v>
      </c>
      <c r="EA39" s="127">
        <f t="shared" ca="1" si="61"/>
        <v>134.14365003623089</v>
      </c>
      <c r="EC39" s="280">
        <f>Transport!$A52</f>
        <v>45261</v>
      </c>
      <c r="ED39" s="13">
        <f t="shared" ca="1" si="63"/>
        <v>1</v>
      </c>
      <c r="EE39" s="281">
        <f t="shared" ca="1" si="64"/>
        <v>132.5937408676709</v>
      </c>
      <c r="EF39" s="127">
        <f t="shared" ca="1" si="69"/>
        <v>133.82116225416021</v>
      </c>
      <c r="EH39" s="280">
        <f>Transport!$A52</f>
        <v>45261</v>
      </c>
      <c r="EI39" s="13">
        <f t="shared" ca="1" si="71"/>
        <v>1</v>
      </c>
      <c r="EJ39" s="281">
        <f t="shared" ca="1" si="72"/>
        <v>132.5937408676709</v>
      </c>
      <c r="EK39" s="127">
        <f t="shared" ca="1" si="73"/>
        <v>135.69364378169342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127.00956481623867</v>
      </c>
      <c r="M40" s="574">
        <f ca="1">Transport!J53</f>
        <v>127.00956481623867</v>
      </c>
      <c r="N40" s="120"/>
      <c r="O40">
        <f t="shared" ca="1" si="8"/>
        <v>1</v>
      </c>
      <c r="P40" s="241">
        <f t="shared" ca="1" si="9"/>
        <v>126.46217610894145</v>
      </c>
      <c r="Q40" s="73">
        <f t="shared" ca="1" si="10"/>
        <v>126.46217610894145</v>
      </c>
      <c r="S40">
        <f t="shared" ca="1" si="11"/>
        <v>1</v>
      </c>
      <c r="T40" s="73">
        <f t="shared" ca="1" si="12"/>
        <v>132.54423435735191</v>
      </c>
      <c r="U40" s="73">
        <f t="shared" ca="1" si="13"/>
        <v>132.54423435735191</v>
      </c>
      <c r="V40" s="2">
        <v>34</v>
      </c>
      <c r="X40" s="121">
        <f>Transport!$A53</f>
        <v>45292</v>
      </c>
      <c r="Y40" s="73">
        <f t="shared" ca="1" si="0"/>
        <v>127.00956481623867</v>
      </c>
      <c r="Z40" s="15">
        <f t="shared" ca="1" si="14"/>
        <v>4.8442623971363616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164.7049215026363</v>
      </c>
      <c r="AE40" s="127">
        <f t="shared" ca="1" si="18"/>
        <v>4.8972542559700321</v>
      </c>
      <c r="AF40" s="127">
        <f t="shared" ca="1" si="19"/>
        <v>133.92156007381666</v>
      </c>
      <c r="AH40" s="121">
        <f>Transport!$A53</f>
        <v>45292</v>
      </c>
      <c r="AI40" s="73">
        <f t="shared" ca="1" si="20"/>
        <v>126.46217610894145</v>
      </c>
      <c r="AJ40" s="15">
        <f t="shared" ca="1" si="21"/>
        <v>4.8399432603658656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164.55807085243944</v>
      </c>
      <c r="AO40" s="127">
        <f t="shared" ca="1" si="25"/>
        <v>4.9027546881769757</v>
      </c>
      <c r="AP40" s="127">
        <f t="shared" ca="1" si="56"/>
        <v>134.66021613753162</v>
      </c>
      <c r="AR40" s="121">
        <f>Transport!$A53</f>
        <v>45292</v>
      </c>
      <c r="AS40" s="73">
        <f t="shared" ca="1" si="57"/>
        <v>126.46217610894145</v>
      </c>
      <c r="AT40" s="15">
        <f t="shared" ca="1" si="26"/>
        <v>4.8399432603658656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164.55807085243944</v>
      </c>
      <c r="AY40" s="127">
        <f t="shared" ca="1" si="30"/>
        <v>4.9062852749664723</v>
      </c>
      <c r="AZ40" s="127">
        <f t="shared" ca="1" si="59"/>
        <v>135.13648597897586</v>
      </c>
      <c r="BB40" s="121">
        <f>Transport!$A53</f>
        <v>45292</v>
      </c>
      <c r="BC40" s="73">
        <f t="shared" ca="1" si="62"/>
        <v>126.46217610894145</v>
      </c>
      <c r="BD40" s="15">
        <f t="shared" ca="1" si="31"/>
        <v>4.8399432603658656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164.55807085243944</v>
      </c>
      <c r="BI40" s="127">
        <f t="shared" ca="1" si="35"/>
        <v>4.9034913683634418</v>
      </c>
      <c r="BJ40" s="127">
        <f t="shared" ca="1" si="65"/>
        <v>134.75945419953439</v>
      </c>
      <c r="BL40" s="121">
        <f>Transport!$A53</f>
        <v>45292</v>
      </c>
      <c r="BM40" s="73">
        <f t="shared" ca="1" si="70"/>
        <v>126.46217610894145</v>
      </c>
      <c r="BN40" s="15">
        <f t="shared" ca="1" si="36"/>
        <v>4.8399432603658656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164.55807085243944</v>
      </c>
      <c r="BS40" s="127">
        <f t="shared" ca="1" si="40"/>
        <v>4.9207584099902855</v>
      </c>
      <c r="BT40" s="127">
        <f t="shared" ca="1" si="66"/>
        <v>137.10655674794032</v>
      </c>
      <c r="BZ40" s="583">
        <f t="shared" si="42"/>
        <v>0</v>
      </c>
      <c r="CA40" s="121">
        <f>Transport!$A53</f>
        <v>45292</v>
      </c>
      <c r="CB40" s="73">
        <f t="shared" ca="1" si="43"/>
        <v>0</v>
      </c>
      <c r="CC40" s="15">
        <f t="shared" ca="1" si="44"/>
        <v>0</v>
      </c>
      <c r="CD40" s="98">
        <f t="shared" ca="1" si="45"/>
        <v>0</v>
      </c>
      <c r="CE40" s="128">
        <f ca="1">IF(CD40&gt;0,34,0)</f>
        <v>0</v>
      </c>
      <c r="CF40" s="128">
        <f t="shared" ca="1" si="46"/>
        <v>0</v>
      </c>
      <c r="CG40" s="15">
        <f t="shared" ca="1" si="47"/>
        <v>0</v>
      </c>
      <c r="CH40" s="127">
        <f t="shared" ca="1" si="48"/>
        <v>4.9054489158272574</v>
      </c>
      <c r="CI40" s="127">
        <f t="shared" ca="1" si="67"/>
        <v>135.02351059446912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127.00956481623867</v>
      </c>
      <c r="DT40" s="295">
        <f t="shared" ca="1" si="55"/>
        <v>134.66021613753162</v>
      </c>
      <c r="DX40" s="280">
        <f>Transport!$A53</f>
        <v>45292</v>
      </c>
      <c r="DY40" s="13">
        <f t="shared" ca="1" si="58"/>
        <v>1</v>
      </c>
      <c r="DZ40" s="281">
        <f t="shared" ca="1" si="60"/>
        <v>127.00956481623867</v>
      </c>
      <c r="EA40" s="127">
        <f t="shared" ca="1" si="61"/>
        <v>135.13648597897586</v>
      </c>
      <c r="EC40" s="280">
        <f>Transport!$A53</f>
        <v>45292</v>
      </c>
      <c r="ED40" s="13">
        <f t="shared" ca="1" si="63"/>
        <v>1</v>
      </c>
      <c r="EE40" s="281">
        <f t="shared" ca="1" si="64"/>
        <v>127.00956481623867</v>
      </c>
      <c r="EF40" s="127">
        <f t="shared" ca="1" si="69"/>
        <v>134.75945419953439</v>
      </c>
      <c r="EH40" s="280">
        <f>Transport!$A53</f>
        <v>45292</v>
      </c>
      <c r="EI40" s="13">
        <f t="shared" ca="1" si="71"/>
        <v>1</v>
      </c>
      <c r="EJ40" s="281">
        <f t="shared" ca="1" si="72"/>
        <v>127.00956481623867</v>
      </c>
      <c r="EK40" s="127">
        <f t="shared" ca="1" si="73"/>
        <v>137.10655674794032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119.78322264291478</v>
      </c>
      <c r="M41" s="574">
        <f ca="1">Transport!J54</f>
        <v>119.78322264291478</v>
      </c>
      <c r="N41" s="120"/>
      <c r="O41">
        <f t="shared" ca="1" si="8"/>
        <v>1</v>
      </c>
      <c r="P41" s="241">
        <f t="shared" ca="1" si="9"/>
        <v>128.8575956111172</v>
      </c>
      <c r="Q41" s="73">
        <f t="shared" ca="1" si="10"/>
        <v>128.8575956111172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119.78322264291478</v>
      </c>
      <c r="Z41" s="15">
        <f t="shared" ca="1" si="14"/>
        <v>4.7856836311572666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167.49892709050434</v>
      </c>
      <c r="AE41" s="127">
        <f t="shared" ca="1" si="18"/>
        <v>4.9041590612914963</v>
      </c>
      <c r="AF41" s="127">
        <f t="shared" ca="1" si="19"/>
        <v>134.84946217959387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4.9097026193752935</v>
      </c>
      <c r="AP41" s="127">
        <f t="shared" ca="1" si="56"/>
        <v>135.59908387173093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4.91365930898424</v>
      </c>
      <c r="AZ41" s="127">
        <f t="shared" ca="1" si="59"/>
        <v>136.1366701876203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4.9104784382047253</v>
      </c>
      <c r="BJ41" s="127">
        <f t="shared" ca="1" si="65"/>
        <v>135.70432501300314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4.9311170944601193</v>
      </c>
      <c r="BT41" s="127">
        <f t="shared" ca="1" si="66"/>
        <v>138.53418170064828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4.9126454500694781</v>
      </c>
      <c r="CI41" s="127">
        <f t="shared" ca="1" si="67"/>
        <v>135.9987167554001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119.78322264291478</v>
      </c>
      <c r="DT41" s="295">
        <f t="shared" ca="1" si="55"/>
        <v>135.59908387173093</v>
      </c>
      <c r="DX41" s="280">
        <f>Transport!$A54</f>
        <v>45323</v>
      </c>
      <c r="DY41" s="13">
        <f t="shared" ca="1" si="58"/>
        <v>1</v>
      </c>
      <c r="DZ41" s="281">
        <f t="shared" ca="1" si="60"/>
        <v>119.78322264291478</v>
      </c>
      <c r="EA41" s="127">
        <f t="shared" ca="1" si="61"/>
        <v>136.1366701876203</v>
      </c>
      <c r="EC41" s="280">
        <f>Transport!$A54</f>
        <v>45323</v>
      </c>
      <c r="ED41" s="13">
        <f t="shared" ca="1" si="63"/>
        <v>1</v>
      </c>
      <c r="EE41" s="281">
        <f t="shared" ca="1" si="64"/>
        <v>119.78322264291478</v>
      </c>
      <c r="EF41" s="127">
        <f t="shared" ca="1" si="69"/>
        <v>135.70432501300314</v>
      </c>
      <c r="EH41" s="280">
        <f>Transport!$A54</f>
        <v>45323</v>
      </c>
      <c r="EI41" s="13">
        <f t="shared" ca="1" si="71"/>
        <v>1</v>
      </c>
      <c r="EJ41" s="281">
        <f t="shared" ca="1" si="72"/>
        <v>119.78322264291478</v>
      </c>
      <c r="EK41" s="127">
        <f t="shared" ca="1" si="73"/>
        <v>138.53418170064828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139.77999937419818</v>
      </c>
      <c r="M42" s="574">
        <f ca="1">Transport!J55</f>
        <v>139.77999937419818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139.77999937419818</v>
      </c>
      <c r="Z42" s="15">
        <f t="shared" ca="1" si="14"/>
        <v>4.9400697535719349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177.84251112858965</v>
      </c>
      <c r="AE42" s="127">
        <f t="shared" ca="1" si="18"/>
        <v>4.9110638666129605</v>
      </c>
      <c r="AF42" s="127">
        <f t="shared" ca="1" si="19"/>
        <v>135.78379343925363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4.9166505505736122</v>
      </c>
      <c r="AP42" s="127">
        <f t="shared" ca="1" si="56"/>
        <v>136.54449750825844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4.9210333430020077</v>
      </c>
      <c r="AZ42" s="127">
        <f t="shared" ca="1" si="59"/>
        <v>137.14425704880503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4.9174655080460097</v>
      </c>
      <c r="BJ42" s="127">
        <f t="shared" ca="1" si="65"/>
        <v>136.65582082253965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4.9414757789299539</v>
      </c>
      <c r="BT42" s="127">
        <f t="shared" ca="1" si="66"/>
        <v>139.97667182869108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4.9198419843116987</v>
      </c>
      <c r="CI42" s="127">
        <f t="shared" ca="1" si="67"/>
        <v>136.98096633456339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139.77999937419818</v>
      </c>
      <c r="DT42" s="296">
        <f ca="1">+DT41/DT40*DT41</f>
        <v>136.54449750825836</v>
      </c>
      <c r="DX42" s="280">
        <f>Transport!$A55</f>
        <v>45352</v>
      </c>
      <c r="DY42" s="13">
        <f t="shared" ca="1" si="58"/>
        <v>1</v>
      </c>
      <c r="DZ42" s="281">
        <f t="shared" ca="1" si="60"/>
        <v>139.77999937419818</v>
      </c>
      <c r="EA42" s="296">
        <f ca="1">+EA41/EA40*EA41</f>
        <v>137.14425704880506</v>
      </c>
      <c r="EC42" s="280">
        <f>Transport!$A55</f>
        <v>45352</v>
      </c>
      <c r="ED42" s="13">
        <f t="shared" ca="1" si="63"/>
        <v>1</v>
      </c>
      <c r="EE42" s="281">
        <f t="shared" ca="1" si="64"/>
        <v>139.77999937419818</v>
      </c>
      <c r="EF42" s="296">
        <f ca="1">+EF41/EF40*EF41</f>
        <v>136.65582082253951</v>
      </c>
      <c r="EH42" s="280">
        <f>Transport!$A55</f>
        <v>45352</v>
      </c>
      <c r="EI42" s="13">
        <f t="shared" ca="1" si="71"/>
        <v>1</v>
      </c>
      <c r="EJ42" s="281">
        <f t="shared" ca="1" si="72"/>
        <v>139.77999937419818</v>
      </c>
      <c r="EK42" s="127">
        <f t="shared" ca="1" si="73"/>
        <v>139.97667182869108</v>
      </c>
    </row>
    <row r="43" spans="1:141" x14ac:dyDescent="0.2">
      <c r="X43" s="121" t="s">
        <v>86</v>
      </c>
      <c r="Y43" s="73">
        <f t="shared" ref="Y43:AD43" ca="1" si="74">SUM(Y7:Y42)</f>
        <v>4350.1437360993914</v>
      </c>
      <c r="Z43" s="15">
        <f t="shared" ca="1" si="74"/>
        <v>172.44827184554399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3217.1181978164532</v>
      </c>
      <c r="AE43" s="66"/>
      <c r="AF43" s="120"/>
      <c r="AH43" s="121" t="s">
        <v>86</v>
      </c>
      <c r="AI43" s="73">
        <f t="shared" ref="AI43:AN43" ca="1" si="75">SUM(AI7:AI42)</f>
        <v>3987.6836033453724</v>
      </c>
      <c r="AJ43" s="15">
        <f t="shared" ca="1" si="75"/>
        <v>158.1223970371282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2866.9913568136753</v>
      </c>
      <c r="AO43" s="66"/>
      <c r="AP43" s="120"/>
      <c r="AR43" s="121" t="s">
        <v>86</v>
      </c>
      <c r="AS43" s="73">
        <f t="shared" ref="AS43:AX43" ca="1" si="76">SUM(AS7:AS42)</f>
        <v>2985.2385656525912</v>
      </c>
      <c r="AT43" s="15">
        <f t="shared" ca="1" si="76"/>
        <v>115.71561321029139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2612.0814363519894</v>
      </c>
      <c r="AY43" s="66"/>
      <c r="AZ43" s="120"/>
      <c r="BB43" s="121" t="s">
        <v>86</v>
      </c>
      <c r="BC43" s="73">
        <f t="shared" ref="BC43:BH43" ca="1" si="77">SUM(BC7:BC42)</f>
        <v>2288.9978073950429</v>
      </c>
      <c r="BD43" s="15">
        <f t="shared" ca="1" si="77"/>
        <v>87.193822944825513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2226.8277204311526</v>
      </c>
      <c r="BI43" s="66"/>
      <c r="BJ43" s="120"/>
      <c r="BL43" s="121" t="s">
        <v>86</v>
      </c>
      <c r="BM43" s="73">
        <f t="shared" ref="BM43:BR43" ca="1" si="78">SUM(BM7:BM42)</f>
        <v>1556.2175377681583</v>
      </c>
      <c r="BN43" s="15">
        <f t="shared" ca="1" si="78"/>
        <v>58.36542774487436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1664.8959826081059</v>
      </c>
      <c r="BS43" s="66"/>
      <c r="BT43" s="120"/>
      <c r="CA43" s="121" t="s">
        <v>86</v>
      </c>
      <c r="CB43" s="73">
        <f t="shared" ref="CB43:CG43" ca="1" si="79">SUM(CB7:CB42)</f>
        <v>2471.4710511405892</v>
      </c>
      <c r="CC43" s="15">
        <f t="shared" ca="1" si="79"/>
        <v>96.309844755989943</v>
      </c>
      <c r="CD43" s="98">
        <f t="shared" ca="1" si="79"/>
        <v>20</v>
      </c>
      <c r="CE43" s="128">
        <f t="shared" ca="1" si="79"/>
        <v>430</v>
      </c>
      <c r="CF43" s="7">
        <f t="shared" ca="1" si="79"/>
        <v>9910</v>
      </c>
      <c r="CG43" s="15">
        <f t="shared" ca="1" si="79"/>
        <v>2075.4473575248608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4.7902297734873329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89.364394383790369</v>
      </c>
      <c r="AH44" s="7" t="s">
        <v>176</v>
      </c>
      <c r="AI44" s="7"/>
      <c r="AJ44" s="15">
        <f ca="1">+AJ43/AK43</f>
        <v>4.7915877890038843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86.878525964050766</v>
      </c>
      <c r="AR44" s="7" t="s">
        <v>176</v>
      </c>
      <c r="AS44" s="7"/>
      <c r="AT44" s="15">
        <f ca="1">+AT43/AU43</f>
        <v>4.8214838837621414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108.83672651466622</v>
      </c>
      <c r="BB44" s="7" t="s">
        <v>176</v>
      </c>
      <c r="BC44" s="7"/>
      <c r="BD44" s="15">
        <f ca="1">+BD43/BE43</f>
        <v>4.8441012747125285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123.71265113506404</v>
      </c>
      <c r="BL44" s="7" t="s">
        <v>176</v>
      </c>
      <c r="BM44" s="7"/>
      <c r="BN44" s="15">
        <f ca="1">+BN43/BO43</f>
        <v>4.863785645406197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138.74133188400882</v>
      </c>
      <c r="CA44" s="7" t="s">
        <v>176</v>
      </c>
      <c r="CB44" s="7"/>
      <c r="CC44" s="15">
        <f ca="1">+CC43/CD43</f>
        <v>4.8154922377994973</v>
      </c>
      <c r="CD44" s="7"/>
      <c r="CE44" s="7">
        <f ca="1">+CE43/CD43</f>
        <v>21.5</v>
      </c>
      <c r="CF44" s="7">
        <f ca="1">+CF43/CD43</f>
        <v>495.5</v>
      </c>
      <c r="CG44" s="15">
        <f ca="1">+CG43/CD43</f>
        <v>103.77236787624304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20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172.44827184554399</v>
      </c>
      <c r="AH47" t="s">
        <v>254</v>
      </c>
      <c r="AI47" s="66">
        <f ca="1">AJ43</f>
        <v>158.1223970371282</v>
      </c>
      <c r="AR47" t="s">
        <v>254</v>
      </c>
      <c r="AS47" s="66">
        <f ca="1">AT43</f>
        <v>115.71561321029139</v>
      </c>
      <c r="BB47" t="s">
        <v>254</v>
      </c>
      <c r="BC47" s="66">
        <f ca="1">BD43</f>
        <v>87.193822944825513</v>
      </c>
      <c r="BL47" t="s">
        <v>254</v>
      </c>
      <c r="BM47" s="66">
        <f ca="1">BN43</f>
        <v>58.36542774487436</v>
      </c>
      <c r="CA47" t="s">
        <v>254</v>
      </c>
      <c r="CB47" s="66">
        <f ca="1">CC43</f>
        <v>96.309844755989943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120.83732600276088</v>
      </c>
      <c r="DX47" s="250" t="s">
        <v>245</v>
      </c>
      <c r="DY47" s="232"/>
      <c r="DZ47" s="293">
        <f ca="1">SUMPRODUCT(DY7:DY42,DZ7:DZ42)/DY44</f>
        <v>125.73459468631536</v>
      </c>
      <c r="EC47" s="250" t="s">
        <v>245</v>
      </c>
      <c r="ED47" s="232"/>
      <c r="EE47" s="293">
        <f ca="1">SUMPRODUCT(ED7:ED42,EE7:EE42)/ED44</f>
        <v>127.85202220503191</v>
      </c>
      <c r="EH47" s="250" t="s">
        <v>245</v>
      </c>
      <c r="EI47" s="232"/>
      <c r="EJ47" s="293">
        <f ca="1">SUMPRODUCT(EI7:EI42,EJ7:EJ42)/EI44</f>
        <v>130.63635431588878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14725.785504651771</v>
      </c>
      <c r="DX48" s="250" t="s">
        <v>521</v>
      </c>
      <c r="DY48" s="232"/>
      <c r="DZ48" s="293">
        <f ca="1">SUMPRODUCT(DY7:DY42,DZ7:DZ42,DZ7:DZ42)/DY44</f>
        <v>15894.109218627365</v>
      </c>
      <c r="EC48" s="250" t="s">
        <v>521</v>
      </c>
      <c r="ED48" s="232"/>
      <c r="EE48" s="293">
        <f ca="1">SUMPRODUCT(ED7:ED42,EE7:EE42,EE7:EE42)/ED44</f>
        <v>16429.789348393213</v>
      </c>
      <c r="EH48" s="250" t="s">
        <v>521</v>
      </c>
      <c r="EI48" s="232"/>
      <c r="EJ48" s="293">
        <f ca="1">SUMPRODUCT(EI7:EI42,EJ7:EJ42,EJ7:EJ42)/EI44</f>
        <v>17149.108880505766</v>
      </c>
    </row>
    <row r="49" spans="24:140" x14ac:dyDescent="0.2">
      <c r="X49" s="1" t="s">
        <v>255</v>
      </c>
      <c r="Y49" s="59">
        <f ca="1">+AD44</f>
        <v>89.364394383790369</v>
      </c>
      <c r="AA49" t="s">
        <v>244</v>
      </c>
      <c r="AH49" s="1" t="s">
        <v>255</v>
      </c>
      <c r="AI49" s="59">
        <f ca="1">+AN44</f>
        <v>86.878525964050766</v>
      </c>
      <c r="AK49" t="s">
        <v>244</v>
      </c>
      <c r="AR49" s="1" t="s">
        <v>255</v>
      </c>
      <c r="AS49" s="59">
        <f ca="1">+AX44</f>
        <v>108.83672651466622</v>
      </c>
      <c r="AU49" t="s">
        <v>244</v>
      </c>
      <c r="BB49" s="1" t="s">
        <v>255</v>
      </c>
      <c r="BC49" s="59">
        <f ca="1">+BH44</f>
        <v>123.71265113506404</v>
      </c>
      <c r="BE49" t="s">
        <v>244</v>
      </c>
      <c r="BL49" s="1" t="s">
        <v>255</v>
      </c>
      <c r="BM49" s="59">
        <f ca="1">+BR44</f>
        <v>138.74133188400882</v>
      </c>
      <c r="BO49" t="s">
        <v>244</v>
      </c>
      <c r="CA49" s="1" t="s">
        <v>255</v>
      </c>
      <c r="CB49" s="59">
        <f ca="1">+CG44</f>
        <v>103.77236787624304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115.258031345169</v>
      </c>
      <c r="DX49" s="250" t="s">
        <v>522</v>
      </c>
      <c r="DY49" s="232"/>
      <c r="DZ49" s="293">
        <f ca="1">SUMPRODUCT(DY7:DY42,EA7:EA42)/DY44</f>
        <v>126.15791031229975</v>
      </c>
      <c r="EC49" s="250" t="s">
        <v>522</v>
      </c>
      <c r="ED49" s="232"/>
      <c r="EE49" s="293">
        <f ca="1">SUMPRODUCT(ED7:ED42,EF7:EF42)/ED44</f>
        <v>128.86074844188187</v>
      </c>
      <c r="EH49" s="250" t="s">
        <v>522</v>
      </c>
      <c r="EI49" s="232"/>
      <c r="EJ49" s="293">
        <f ca="1">SUMPRODUCT(EI7:EI42,EK7:EK42)/EI44</f>
        <v>132.30928824678381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21.5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14131.143712345689</v>
      </c>
      <c r="DX50" s="250" t="s">
        <v>523</v>
      </c>
      <c r="DY50" s="232"/>
      <c r="DZ50" s="293">
        <f ca="1">SUMPRODUCT(DY7:DY42,EA7:EA42,EA7:EA42)/DY44</f>
        <v>15957.265695625945</v>
      </c>
      <c r="EC50" s="250" t="s">
        <v>523</v>
      </c>
      <c r="ED50" s="232"/>
      <c r="EE50" s="293">
        <f ca="1">SUMPRODUCT(ED7:ED42,EF7:EF42,EF7:EF42)/ED44</f>
        <v>16626.906531841421</v>
      </c>
      <c r="EH50" s="250" t="s">
        <v>523</v>
      </c>
      <c r="EI50" s="232"/>
      <c r="EJ50" s="293">
        <f ca="1">SUMPRODUCT(EI7:EI42,EK7:EK42,EK7:EK42)/EI44</f>
        <v>17528.126113044549</v>
      </c>
    </row>
    <row r="51" spans="24:140" x14ac:dyDescent="0.2">
      <c r="X51" s="1" t="s">
        <v>256</v>
      </c>
      <c r="Y51" s="59">
        <f ca="1">Y47/Y46</f>
        <v>4.7902297734873329</v>
      </c>
      <c r="AH51" s="1" t="s">
        <v>256</v>
      </c>
      <c r="AI51" s="59">
        <f ca="1">AI47/AI46</f>
        <v>4.7915877890038843</v>
      </c>
      <c r="AR51" s="1" t="s">
        <v>256</v>
      </c>
      <c r="AS51" s="59">
        <f ca="1">AS47/AS46</f>
        <v>4.8214838837621414</v>
      </c>
      <c r="BB51" s="1" t="s">
        <v>256</v>
      </c>
      <c r="BC51" s="59">
        <f ca="1">BC47/BC46</f>
        <v>4.8441012747125285</v>
      </c>
      <c r="BL51" s="1" t="s">
        <v>256</v>
      </c>
      <c r="BM51" s="59">
        <f ca="1">BM47/BM46</f>
        <v>4.863785645406197</v>
      </c>
      <c r="CA51" s="1" t="s">
        <v>256</v>
      </c>
      <c r="CB51" s="59">
        <f ca="1">CB47/CB46</f>
        <v>4.8154922377994973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14125.668040851851</v>
      </c>
      <c r="DX51" s="250" t="s">
        <v>524</v>
      </c>
      <c r="DY51" s="232"/>
      <c r="DZ51" s="293">
        <f ca="1">SUMPRODUCT(DY7:DY42,DZ7:DZ42,EA7:EA42)/DY44</f>
        <v>15899.672796678258</v>
      </c>
      <c r="EC51" s="250" t="s">
        <v>524</v>
      </c>
      <c r="ED51" s="232"/>
      <c r="EE51" s="293">
        <f ca="1">SUMPRODUCT(ED7:ED42,EE7:EE42,EF7:EF42)/ED44</f>
        <v>16497.921205602615</v>
      </c>
      <c r="EH51" s="250" t="s">
        <v>524</v>
      </c>
      <c r="EI51" s="232"/>
      <c r="EJ51" s="293">
        <f ca="1">SUMPRODUCT(EI7:EI42,EJ7:EJ42,EK7:EK42)/EI44</f>
        <v>17300.741857244531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495.5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0.61135040572301036</v>
      </c>
      <c r="DX52" s="232" t="s">
        <v>525</v>
      </c>
      <c r="DY52" s="232"/>
      <c r="DZ52" s="262">
        <f ca="1">(DZ51-DZ47*DZ49)/SQRT((DZ48-DZ47^2)*(DZ50-DZ49^2))</f>
        <v>0.62802410111246332</v>
      </c>
      <c r="EC52" s="232" t="s">
        <v>525</v>
      </c>
      <c r="ED52" s="232"/>
      <c r="EE52" s="262">
        <f ca="1">(EE51-EE47*EE49)/SQRT((EE48-EE47^2)*(EE50-EE49^2))</f>
        <v>0.5340719170242233</v>
      </c>
      <c r="EH52" s="232" t="s">
        <v>525</v>
      </c>
      <c r="EI52" s="232"/>
      <c r="EJ52" s="262">
        <f ca="1">(EJ51-EJ47*EJ49)/SQRT((EJ48-EJ47^2)*(EJ50-EJ49^2))</f>
        <v>0.37853773245863015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462.25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6.9048053214644609E-3</v>
      </c>
      <c r="AH54" s="28" t="s">
        <v>247</v>
      </c>
      <c r="AI54" s="66">
        <f ca="1">(AI49-AI51*AI50)/(AI52-AI53)</f>
        <v>6.9479311983181892E-3</v>
      </c>
      <c r="AR54" s="28" t="s">
        <v>247</v>
      </c>
      <c r="AS54" s="66">
        <f ca="1">(AS49-AS51*AS50)/(AS52-AS53)</f>
        <v>7.3740340177678521E-3</v>
      </c>
      <c r="BB54" s="28" t="s">
        <v>247</v>
      </c>
      <c r="BC54" s="66">
        <f ca="1">(BC49-BC51*BC50)/(BC52-BC53)</f>
        <v>6.9870698412839386E-3</v>
      </c>
      <c r="BL54" s="28" t="s">
        <v>247</v>
      </c>
      <c r="BM54" s="66">
        <f ca="1">(BM49-BM51*BM50)/(BM52-BM53)</f>
        <v>1.0358684469834307E-2</v>
      </c>
      <c r="CA54" s="28" t="s">
        <v>247</v>
      </c>
      <c r="CB54" s="66">
        <f ca="1">(CB49-CB51*CB50)/(CB52-CB53)</f>
        <v>7.1965342422207583E-3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11.141191550021071</v>
      </c>
      <c r="DX54" s="250" t="s">
        <v>595</v>
      </c>
      <c r="DZ54" s="281">
        <f ca="1">SQRT(DZ48-DZ47^2)</f>
        <v>9.2152546191281512</v>
      </c>
      <c r="EC54" s="250" t="s">
        <v>595</v>
      </c>
      <c r="EE54" s="281">
        <f ca="1">SQRT(EE48-EE47^2)</f>
        <v>9.1460246269753505</v>
      </c>
      <c r="EH54" s="250" t="s">
        <v>595</v>
      </c>
      <c r="EJ54" s="281">
        <f ca="1">SQRT(EJ48-EJ47^2)</f>
        <v>9.1242430677472566</v>
      </c>
    </row>
    <row r="55" spans="24:140" x14ac:dyDescent="0.2">
      <c r="X55" s="28" t="s">
        <v>248</v>
      </c>
      <c r="Y55" s="66">
        <f ca="1">Y51-Y54*Y50</f>
        <v>4.6624908750402403</v>
      </c>
      <c r="AH55" s="28" t="s">
        <v>248</v>
      </c>
      <c r="AI55" s="66">
        <f ca="1">AI51-AI54*AI50</f>
        <v>4.6665250274341572</v>
      </c>
      <c r="AR55" s="28" t="s">
        <v>248</v>
      </c>
      <c r="AS55" s="66">
        <f ca="1">AS51-AS54*AS50</f>
        <v>4.6555681183623649</v>
      </c>
      <c r="BB55" s="28" t="s">
        <v>248</v>
      </c>
      <c r="BC55" s="66">
        <f ca="1">BC51-BC54*BC50</f>
        <v>4.6659309937597877</v>
      </c>
      <c r="BL55" s="28" t="s">
        <v>248</v>
      </c>
      <c r="BM55" s="66">
        <f ca="1">BM51-BM54*BM50</f>
        <v>4.5685631380159188</v>
      </c>
      <c r="CA55" s="28" t="s">
        <v>248</v>
      </c>
      <c r="CB55" s="66">
        <f ca="1">CB51-CB54*CB50</f>
        <v>4.6607667515917512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8.6387165384540499E-2</v>
      </c>
      <c r="AH56" t="s">
        <v>249</v>
      </c>
      <c r="AI56" s="126">
        <f ca="1">EXP(12*AI54+AI55)/EXP(AI55)-1</f>
        <v>8.6949527675509897E-2</v>
      </c>
      <c r="AR56" t="s">
        <v>249</v>
      </c>
      <c r="AS56" s="126">
        <f ca="1">EXP(12*AS54+AS55)/EXP(AS55)-1</f>
        <v>9.2521588259768306E-2</v>
      </c>
      <c r="BB56" t="s">
        <v>249</v>
      </c>
      <c r="BC56" s="126">
        <f ca="1">EXP(12*BC54+BC55)/EXP(BC55)-1</f>
        <v>8.7460148329946197E-2</v>
      </c>
      <c r="BL56" t="s">
        <v>249</v>
      </c>
      <c r="BM56" s="126">
        <f ca="1">EXP(12*BM54+BM55)/EXP(BM55)-1</f>
        <v>0.13236029805262617</v>
      </c>
      <c r="CA56" t="s">
        <v>249</v>
      </c>
      <c r="CB56" s="126">
        <f ca="1">EXP(12*CB54+CB55)/EXP(CB55)-1</f>
        <v>9.0196996785068206E-2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8.6</v>
      </c>
      <c r="AH57" t="s">
        <v>250</v>
      </c>
      <c r="AI57" t="str">
        <f ca="1">FIXED(AI56*100,1,TRUE)</f>
        <v>8.7</v>
      </c>
      <c r="AR57" t="s">
        <v>250</v>
      </c>
      <c r="AS57" t="str">
        <f ca="1">FIXED(AS56*100,1,TRUE)</f>
        <v>9.3</v>
      </c>
      <c r="BB57" t="s">
        <v>250</v>
      </c>
      <c r="BC57" t="str">
        <f ca="1">FIXED(BC56*100,1,TRUE)</f>
        <v>8.7</v>
      </c>
      <c r="BL57" t="s">
        <v>250</v>
      </c>
      <c r="BM57" t="str">
        <f ca="1">FIXED(BM56*100,1,TRUE)</f>
        <v>13.2</v>
      </c>
      <c r="CA57" t="s">
        <v>250</v>
      </c>
      <c r="CB57" t="str">
        <f ca="1">FIXED(CB56*100,1,TRUE)</f>
        <v>9.0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100.89458698895866</v>
      </c>
      <c r="Z69" s="15">
        <f>IF(Y69=0,0,LN(Y69))</f>
        <v>4.6140762786356468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4.6140762786356468</v>
      </c>
      <c r="AE69" s="127">
        <f ca="1">Y$116*$V69+Y$117</f>
        <v>4.6693956803617045</v>
      </c>
      <c r="AF69" s="127">
        <f ca="1">EXP(AE69)</f>
        <v>106.6332823705395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4.673472958632475</v>
      </c>
      <c r="AP69" s="127">
        <f ca="1">EXP(AO69)</f>
        <v>107.06894348795066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4.6629421523801327</v>
      </c>
      <c r="AZ69" s="127">
        <f ca="1">EXP(AY69)</f>
        <v>105.94733726265466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4.6729180636010712</v>
      </c>
      <c r="BJ69" s="127">
        <f ca="1">EXP(BI69)</f>
        <v>107.00954794386173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4.5789218224857535</v>
      </c>
      <c r="BT69" s="127">
        <f ca="1">EXP(BS69)</f>
        <v>97.409313038160775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4.6679632858339719</v>
      </c>
      <c r="CI69" s="127">
        <f ca="1">EXP(CH69)</f>
        <v>106.48065078082158</v>
      </c>
      <c r="DQ69" s="121">
        <f>+$X69</f>
        <v>44287</v>
      </c>
      <c r="DR69" s="98">
        <f>IF($Y69&gt;0,1,0)</f>
        <v>1</v>
      </c>
      <c r="DS69" s="73">
        <f>+Y69</f>
        <v>100.89458698895866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99.675216059479581</v>
      </c>
      <c r="Z70" s="15">
        <f t="shared" ref="Z70:Z104" si="84">IF(Y70=0,0,LN(Y70))</f>
        <v>4.601917060904694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9.203834121809388</v>
      </c>
      <c r="AE70" s="127">
        <f t="shared" ref="AE70:AE104" ca="1" si="88">Y$116*$V70+Y$117</f>
        <v>4.6763004856831696</v>
      </c>
      <c r="AF70" s="127">
        <f ca="1">EXP(AE70)</f>
        <v>107.37211222887622</v>
      </c>
      <c r="AH70" s="121">
        <f t="shared" ref="AH70:AH104" si="89">+X70</f>
        <v>44317</v>
      </c>
      <c r="AI70" s="73">
        <f t="shared" si="81"/>
        <v>102.82659411298313</v>
      </c>
      <c r="AJ70" s="15">
        <f t="shared" ref="AJ70:AJ104" si="90">IF(AI70=0,0,LN(AI70))</f>
        <v>4.6330440171617235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9.2660880343234471</v>
      </c>
      <c r="AO70" s="127">
        <f t="shared" ref="AO70:AO104" ca="1" si="94">AI$116*$V70+AI$117</f>
        <v>4.6804208898307937</v>
      </c>
      <c r="AP70" s="127">
        <f ca="1">EXP(AO70)</f>
        <v>107.81544144598891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4.6703161863979004</v>
      </c>
      <c r="AZ70" s="127">
        <f ca="1">EXP(AY70)</f>
        <v>106.73148414134823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4.6799051334423556</v>
      </c>
      <c r="BJ70" s="127">
        <f ca="1">EXP(BI70)</f>
        <v>107.75984928053042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4.5892805069555873</v>
      </c>
      <c r="BT70" s="127">
        <f ca="1">EXP(BS70)</f>
        <v>98.423589592235999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4.6751598200761926</v>
      </c>
      <c r="CI70" s="127">
        <f ca="1">EXP(CH70)</f>
        <v>107.24970637865204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99.675216059479581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107.90997929051117</v>
      </c>
      <c r="Z71" s="15">
        <f t="shared" si="84"/>
        <v>4.6812973544611687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14.043892063383506</v>
      </c>
      <c r="AE71" s="127">
        <f t="shared" ca="1" si="88"/>
        <v>4.6832052910046338</v>
      </c>
      <c r="AF71" s="127">
        <f ca="1">EXP(AE71)</f>
        <v>108.11606121650753</v>
      </c>
      <c r="AH71" s="121">
        <f t="shared" si="89"/>
        <v>44348</v>
      </c>
      <c r="AI71" s="73">
        <f t="shared" si="81"/>
        <v>105.29397668688533</v>
      </c>
      <c r="AJ71" s="15">
        <f t="shared" si="90"/>
        <v>4.656756216049784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13.970268648149352</v>
      </c>
      <c r="AO71" s="127">
        <f t="shared" ca="1" si="94"/>
        <v>4.6873688210291116</v>
      </c>
      <c r="AP71" s="127">
        <f ca="1">EXP(AO71)</f>
        <v>108.5671440804085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4.6776902204156681</v>
      </c>
      <c r="AZ71" s="127">
        <f ca="1">EXP(AY71)</f>
        <v>107.52143471783405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4.6868922032836391</v>
      </c>
      <c r="BJ71" s="127">
        <f ca="1">EXP(BI71)</f>
        <v>108.51541138230479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4.599639191425422</v>
      </c>
      <c r="BT71" s="127">
        <f ca="1">EXP(BS71)</f>
        <v>99.448427322610186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4.6823563543184132</v>
      </c>
      <c r="CI71" s="127">
        <f ca="1">EXP(CH71)</f>
        <v>108.02431647401998</v>
      </c>
      <c r="DQ71" s="121">
        <f t="shared" si="121"/>
        <v>44348</v>
      </c>
      <c r="DR71" s="98">
        <f t="shared" si="122"/>
        <v>1</v>
      </c>
      <c r="DS71" s="73">
        <f t="shared" si="123"/>
        <v>107.90997929051117</v>
      </c>
      <c r="DT71" s="295">
        <f t="shared" ref="DT71:DT103" ca="1" si="127">+AP71</f>
        <v>108.5671440804085</v>
      </c>
      <c r="DU71" s="295">
        <f t="shared" ref="DU71:DU104" ca="1" si="128">+DS71-DT71</f>
        <v>-0.65716478989732252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108.29673471066521</v>
      </c>
      <c r="Z72" s="15">
        <f t="shared" si="84"/>
        <v>4.6848750031430422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18.739500012572169</v>
      </c>
      <c r="AE72" s="127">
        <f t="shared" ca="1" si="88"/>
        <v>4.690110096326098</v>
      </c>
      <c r="AF72" s="127">
        <f ca="1">EXP(AE72)</f>
        <v>108.86516480233671</v>
      </c>
      <c r="AH72" s="121">
        <f t="shared" si="89"/>
        <v>44378</v>
      </c>
      <c r="AI72" s="73">
        <f t="shared" si="81"/>
        <v>110.32540692218294</v>
      </c>
      <c r="AJ72" s="15">
        <f t="shared" si="90"/>
        <v>4.7034342435438505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18.813736974175402</v>
      </c>
      <c r="AO72" s="127">
        <f t="shared" ca="1" si="94"/>
        <v>4.6943167522274303</v>
      </c>
      <c r="AP72" s="127">
        <f ca="1">EXP(AO72)</f>
        <v>109.32408767885906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4.6850642544334367</v>
      </c>
      <c r="AZ72" s="127">
        <f ca="1">EXP(AY72)</f>
        <v>108.31723194695776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4.6938792731249235</v>
      </c>
      <c r="BJ72" s="127">
        <f ca="1">EXP(BI72)</f>
        <v>109.27627113523086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4.6099978758952558</v>
      </c>
      <c r="BT72" s="127">
        <f ca="1">EXP(BS72)</f>
        <v>100.48393619775707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4.6895528885606339</v>
      </c>
      <c r="CI72" s="127">
        <f ca="1">EXP(CH72)</f>
        <v>108.80452118423683</v>
      </c>
      <c r="DQ72" s="121">
        <f t="shared" si="121"/>
        <v>44378</v>
      </c>
      <c r="DR72" s="98">
        <f t="shared" si="122"/>
        <v>1</v>
      </c>
      <c r="DS72" s="73">
        <f t="shared" si="123"/>
        <v>108.29673471066521</v>
      </c>
      <c r="DT72" s="295">
        <f t="shared" ca="1" si="127"/>
        <v>109.32408767885906</v>
      </c>
      <c r="DU72" s="295">
        <f t="shared" ca="1" si="128"/>
        <v>-1.0273529681938527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114.76950676537243</v>
      </c>
      <c r="Z73" s="15">
        <f t="shared" si="84"/>
        <v>4.7429258280913968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23.714629140456985</v>
      </c>
      <c r="AE73" s="127">
        <f t="shared" ca="1" si="88"/>
        <v>4.6970149016475622</v>
      </c>
      <c r="AF73" s="127">
        <f t="shared" ref="AF73:AF104" ca="1" si="129">EXP(AE73)</f>
        <v>109.61945870102032</v>
      </c>
      <c r="AH73" s="121">
        <f t="shared" si="89"/>
        <v>44409</v>
      </c>
      <c r="AI73" s="73">
        <f t="shared" si="81"/>
        <v>113.59873106344916</v>
      </c>
      <c r="AJ73" s="15">
        <f t="shared" si="90"/>
        <v>4.7326723360085472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23.663361680042737</v>
      </c>
      <c r="AO73" s="127">
        <f t="shared" ca="1" si="94"/>
        <v>4.7012646834257481</v>
      </c>
      <c r="AP73" s="127">
        <f t="shared" ref="AP73:AP104" ca="1" si="130">EXP(AO73)</f>
        <v>110.08630878199189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4.6924382884512044</v>
      </c>
      <c r="AZ73" s="127">
        <f t="shared" ref="AZ73:AZ104" ca="1" si="131">EXP(AY73)</f>
        <v>109.11891910148594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4.700866342966207</v>
      </c>
      <c r="BJ73" s="127">
        <f t="shared" ref="BJ73:BJ104" ca="1" si="132">EXP(BI73)</f>
        <v>110.04246568398212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4.6203565603650905</v>
      </c>
      <c r="BT73" s="127">
        <f t="shared" ref="BT73:BT104" ca="1" si="133">EXP(BS73)</f>
        <v>101.53022733119991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4.6967494228028555</v>
      </c>
      <c r="CI73" s="127">
        <f t="shared" ref="CI73:CI104" ca="1" si="134">EXP(CH73)</f>
        <v>109.59036091636102</v>
      </c>
      <c r="DQ73" s="121">
        <f t="shared" si="121"/>
        <v>44409</v>
      </c>
      <c r="DR73" s="98">
        <f t="shared" si="122"/>
        <v>1</v>
      </c>
      <c r="DS73" s="73">
        <f t="shared" si="123"/>
        <v>114.76950676537243</v>
      </c>
      <c r="DT73" s="295">
        <f t="shared" ca="1" si="127"/>
        <v>110.08630878199189</v>
      </c>
      <c r="DU73" s="295">
        <f t="shared" ca="1" si="128"/>
        <v>4.6831979833805377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117.72995171430985</v>
      </c>
      <c r="Z74" s="15">
        <f t="shared" si="84"/>
        <v>4.7683934569508031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28.610360741704817</v>
      </c>
      <c r="AE74" s="127">
        <f t="shared" ca="1" si="88"/>
        <v>4.7039197069690273</v>
      </c>
      <c r="AF74" s="127">
        <f t="shared" ca="1" si="129"/>
        <v>110.37897887467109</v>
      </c>
      <c r="AH74" s="121">
        <f t="shared" si="89"/>
        <v>44440</v>
      </c>
      <c r="AI74" s="73">
        <f t="shared" si="81"/>
        <v>117.79959198298037</v>
      </c>
      <c r="AJ74" s="15">
        <f t="shared" si="90"/>
        <v>4.7689848075695558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28.613908845417335</v>
      </c>
      <c r="AO74" s="127">
        <f t="shared" ca="1" si="94"/>
        <v>4.7082126146240659</v>
      </c>
      <c r="AP74" s="127">
        <f t="shared" ca="1" si="130"/>
        <v>110.8538441852245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4.6998123224689721</v>
      </c>
      <c r="AZ74" s="127">
        <f t="shared" ca="1" si="131"/>
        <v>109.92653977445974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4.7078534128074914</v>
      </c>
      <c r="BJ74" s="127">
        <f t="shared" ca="1" si="132"/>
        <v>110.8140324336737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4.6307152448349242</v>
      </c>
      <c r="BT74" s="127">
        <f t="shared" ca="1" si="133"/>
        <v>102.58741299343347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4.7039459570450761</v>
      </c>
      <c r="CI74" s="127">
        <f t="shared" ca="1" si="134"/>
        <v>110.3818763692903</v>
      </c>
      <c r="DQ74" s="121">
        <f t="shared" si="121"/>
        <v>44440</v>
      </c>
      <c r="DR74" s="98">
        <f t="shared" si="122"/>
        <v>1</v>
      </c>
      <c r="DS74" s="73">
        <f t="shared" si="123"/>
        <v>117.72995171430985</v>
      </c>
      <c r="DT74" s="295">
        <f t="shared" ca="1" si="127"/>
        <v>110.8538441852245</v>
      </c>
      <c r="DU74" s="295">
        <f t="shared" ca="1" si="128"/>
        <v>6.8761075290853455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120.89931746925885</v>
      </c>
      <c r="Z75" s="15">
        <f t="shared" si="84"/>
        <v>4.7949581121892519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33.564706785324766</v>
      </c>
      <c r="AE75" s="127">
        <f t="shared" ca="1" si="88"/>
        <v>4.7108245122904915</v>
      </c>
      <c r="AF75" s="127">
        <f t="shared" ca="1" si="129"/>
        <v>111.14376153457208</v>
      </c>
      <c r="AH75" s="121">
        <f t="shared" si="89"/>
        <v>44470</v>
      </c>
      <c r="AI75" s="73">
        <f t="shared" si="81"/>
        <v>118.07327958953175</v>
      </c>
      <c r="AJ75" s="15">
        <f t="shared" si="90"/>
        <v>4.7713054451872035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33.399138116310425</v>
      </c>
      <c r="AO75" s="127">
        <f t="shared" ca="1" si="94"/>
        <v>4.7151605458223846</v>
      </c>
      <c r="AP75" s="127">
        <f t="shared" ca="1" si="130"/>
        <v>111.62673094051665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4.7071863564867398</v>
      </c>
      <c r="AZ75" s="127">
        <f t="shared" ca="1" si="131"/>
        <v>110.74013788156491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4.7148404826487749</v>
      </c>
      <c r="BJ75" s="127">
        <f t="shared" ca="1" si="132"/>
        <v>111.59100905168765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4.6410739293047589</v>
      </c>
      <c r="BT75" s="127">
        <f t="shared" ca="1" si="133"/>
        <v>103.65560662397183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4.7111424912872968</v>
      </c>
      <c r="CI75" s="127">
        <f t="shared" ca="1" si="134"/>
        <v>111.17910853587018</v>
      </c>
      <c r="DQ75" s="121">
        <f t="shared" si="121"/>
        <v>44470</v>
      </c>
      <c r="DR75" s="98">
        <f t="shared" si="122"/>
        <v>1</v>
      </c>
      <c r="DS75" s="73">
        <f t="shared" si="123"/>
        <v>120.89931746925885</v>
      </c>
      <c r="DT75" s="295">
        <f t="shared" ca="1" si="127"/>
        <v>111.62673094051665</v>
      </c>
      <c r="DU75" s="295">
        <f t="shared" ca="1" si="128"/>
        <v>9.2725865287421954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115.59056958502657</v>
      </c>
      <c r="Z76" s="15">
        <f t="shared" si="84"/>
        <v>4.750054374926413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38.000434999411304</v>
      </c>
      <c r="AE76" s="127">
        <f t="shared" ca="1" si="88"/>
        <v>4.7177293176119557</v>
      </c>
      <c r="AF76" s="127">
        <f t="shared" ca="1" si="129"/>
        <v>111.91384314290373</v>
      </c>
      <c r="AH76" s="121">
        <f t="shared" si="89"/>
        <v>44501</v>
      </c>
      <c r="AI76" s="73">
        <f t="shared" si="81"/>
        <v>116.58195637688645</v>
      </c>
      <c r="AJ76" s="15">
        <f t="shared" si="90"/>
        <v>4.7585945138875294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38.068756111100235</v>
      </c>
      <c r="AO76" s="127">
        <f t="shared" ca="1" si="94"/>
        <v>4.7221084770207025</v>
      </c>
      <c r="AP76" s="127">
        <f t="shared" ca="1" si="130"/>
        <v>112.40500635815863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4.7145603905045075</v>
      </c>
      <c r="AZ76" s="127">
        <f t="shared" ca="1" si="131"/>
        <v>111.55975766351987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4.7218275524900593</v>
      </c>
      <c r="BJ76" s="127">
        <f t="shared" ca="1" si="132"/>
        <v>112.37343346951262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4.6514326137745936</v>
      </c>
      <c r="BT76" s="127">
        <f t="shared" ca="1" si="133"/>
        <v>104.73492284352018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4.7183390255295174</v>
      </c>
      <c r="CI76" s="127">
        <f t="shared" ca="1" si="134"/>
        <v>111.98209870501658</v>
      </c>
      <c r="DQ76" s="121">
        <f t="shared" si="121"/>
        <v>44501</v>
      </c>
      <c r="DR76" s="98">
        <f t="shared" si="122"/>
        <v>1</v>
      </c>
      <c r="DS76" s="73">
        <f t="shared" si="123"/>
        <v>115.59056958502657</v>
      </c>
      <c r="DT76" s="295">
        <f t="shared" ca="1" si="127"/>
        <v>112.40500635815863</v>
      </c>
      <c r="DU76" s="295">
        <f t="shared" ca="1" si="128"/>
        <v>3.1855632268679415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113.25598207637394</v>
      </c>
      <c r="Z77" s="15">
        <f t="shared" si="84"/>
        <v>4.7296505848345545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42.566855263510988</v>
      </c>
      <c r="AE77" s="127">
        <f t="shared" ca="1" si="88"/>
        <v>4.7246341229334208</v>
      </c>
      <c r="AF77" s="127">
        <f t="shared" ca="1" si="129"/>
        <v>112.68926041448192</v>
      </c>
      <c r="AH77" s="121">
        <f t="shared" si="89"/>
        <v>44531</v>
      </c>
      <c r="AI77" s="73">
        <f t="shared" si="81"/>
        <v>110.527064892346</v>
      </c>
      <c r="AJ77" s="15">
        <f t="shared" si="90"/>
        <v>4.7052604221195224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42.347343799075702</v>
      </c>
      <c r="AO77" s="127">
        <f t="shared" ca="1" si="94"/>
        <v>4.7290564082190212</v>
      </c>
      <c r="AP77" s="127">
        <f t="shared" ca="1" si="130"/>
        <v>113.18870800857312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4.7219344245222752</v>
      </c>
      <c r="AZ77" s="127">
        <f t="shared" ca="1" si="131"/>
        <v>112.38544368848142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4.7288146223313428</v>
      </c>
      <c r="BJ77" s="127">
        <f t="shared" ca="1" si="132"/>
        <v>113.1613438845949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4.6617912982444274</v>
      </c>
      <c r="BT77" s="127">
        <f t="shared" ca="1" si="133"/>
        <v>105.82547746627421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4.7255355597717381</v>
      </c>
      <c r="CI77" s="127">
        <f t="shared" ca="1" si="134"/>
        <v>112.79088846385422</v>
      </c>
      <c r="DQ77" s="121">
        <f t="shared" si="121"/>
        <v>44531</v>
      </c>
      <c r="DR77" s="98">
        <f t="shared" si="122"/>
        <v>1</v>
      </c>
      <c r="DS77" s="73">
        <f t="shared" si="123"/>
        <v>113.25598207637394</v>
      </c>
      <c r="DT77" s="295">
        <f t="shared" ca="1" si="127"/>
        <v>113.18870800857312</v>
      </c>
      <c r="DU77" s="295">
        <f t="shared" ca="1" si="128"/>
        <v>6.72740678008239E-2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102.7346430156375</v>
      </c>
      <c r="Z78" s="15">
        <f t="shared" si="84"/>
        <v>4.6321493825043047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46.321493825043049</v>
      </c>
      <c r="AE78" s="127">
        <f t="shared" ca="1" si="88"/>
        <v>4.731538928254885</v>
      </c>
      <c r="AF78" s="127">
        <f t="shared" ca="1" si="129"/>
        <v>113.47005031850811</v>
      </c>
      <c r="AH78" s="121">
        <f t="shared" si="89"/>
        <v>44562</v>
      </c>
      <c r="AI78" s="73">
        <f t="shared" si="81"/>
        <v>107.41843606553721</v>
      </c>
      <c r="AJ78" s="15">
        <f t="shared" si="90"/>
        <v>4.6767318253091172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46.767318253091176</v>
      </c>
      <c r="AO78" s="127">
        <f t="shared" ca="1" si="94"/>
        <v>4.736004339417339</v>
      </c>
      <c r="AP78" s="127">
        <f t="shared" ca="1" si="130"/>
        <v>113.97787372412803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4.7293084585400438</v>
      </c>
      <c r="AZ78" s="127">
        <f t="shared" ca="1" si="131"/>
        <v>113.21724085446824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4.7358016921726271</v>
      </c>
      <c r="BJ78" s="127">
        <f t="shared" ca="1" si="132"/>
        <v>113.95477876220394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4.6721499827142621</v>
      </c>
      <c r="BT78" s="127">
        <f t="shared" ca="1" si="133"/>
        <v>106.92738751234771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4.7327320940139588</v>
      </c>
      <c r="CI78" s="127">
        <f t="shared" ca="1" si="134"/>
        <v>113.60551969987047</v>
      </c>
      <c r="DQ78" s="121">
        <f t="shared" si="121"/>
        <v>44562</v>
      </c>
      <c r="DR78" s="98">
        <f t="shared" si="122"/>
        <v>1</v>
      </c>
      <c r="DS78" s="73">
        <f t="shared" si="123"/>
        <v>102.7346430156375</v>
      </c>
      <c r="DT78" s="295">
        <f t="shared" ca="1" si="127"/>
        <v>113.97787372412803</v>
      </c>
      <c r="DU78" s="295">
        <f t="shared" ca="1" si="128"/>
        <v>-11.243230708490529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106.26468310460019</v>
      </c>
      <c r="Z79" s="15">
        <f t="shared" si="84"/>
        <v>4.6659329921822739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51.325262914005009</v>
      </c>
      <c r="AE79" s="127">
        <f t="shared" ca="1" si="88"/>
        <v>4.7384437335763492</v>
      </c>
      <c r="AF79" s="127">
        <f t="shared" ca="1" si="129"/>
        <v>114.25625008033253</v>
      </c>
      <c r="AH79" s="121">
        <f t="shared" si="89"/>
        <v>44593</v>
      </c>
      <c r="AI79" s="73">
        <f t="shared" si="81"/>
        <v>111.16387298928923</v>
      </c>
      <c r="AJ79" s="15">
        <f t="shared" si="90"/>
        <v>4.7110054458406605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51.821059904247264</v>
      </c>
      <c r="AO79" s="127">
        <f t="shared" ca="1" si="94"/>
        <v>4.7429522706156577</v>
      </c>
      <c r="AP79" s="127">
        <f t="shared" ca="1" si="130"/>
        <v>114.77254160096365</v>
      </c>
      <c r="AR79" s="121">
        <f t="shared" si="95"/>
        <v>44593</v>
      </c>
      <c r="AS79" s="73">
        <f>+$AI79</f>
        <v>111.16387298928923</v>
      </c>
      <c r="AT79" s="15">
        <f t="shared" si="96"/>
        <v>4.7110054458406605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51.821059904247264</v>
      </c>
      <c r="AY79" s="127">
        <f t="shared" ca="1" si="100"/>
        <v>4.7366824925578115</v>
      </c>
      <c r="AZ79" s="127">
        <f t="shared" ca="1" si="131"/>
        <v>114.05519439180196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4.7427887620139106</v>
      </c>
      <c r="BJ79" s="127">
        <f t="shared" ca="1" si="132"/>
        <v>114.75377683730946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4.6825086671840959</v>
      </c>
      <c r="BT79" s="127">
        <f t="shared" ca="1" si="133"/>
        <v>108.04077122032852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4.7399286282561794</v>
      </c>
      <c r="CI79" s="127">
        <f t="shared" ca="1" si="134"/>
        <v>114.42603460308479</v>
      </c>
      <c r="DQ79" s="121">
        <f t="shared" si="121"/>
        <v>44593</v>
      </c>
      <c r="DR79" s="98">
        <f t="shared" si="122"/>
        <v>1</v>
      </c>
      <c r="DS79" s="73">
        <f t="shared" si="123"/>
        <v>106.26468310460019</v>
      </c>
      <c r="DT79" s="295">
        <f t="shared" ca="1" si="127"/>
        <v>114.77254160096365</v>
      </c>
      <c r="DU79" s="295">
        <f t="shared" ca="1" si="128"/>
        <v>-8.507858496363454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124.49229284762997</v>
      </c>
      <c r="Z80" s="15">
        <f t="shared" si="84"/>
        <v>4.8242438091502651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57.890925709803184</v>
      </c>
      <c r="AE80" s="127">
        <f t="shared" ca="1" si="88"/>
        <v>4.7453485388978134</v>
      </c>
      <c r="AF80" s="127">
        <f t="shared" ca="1" si="129"/>
        <v>115.04789718322851</v>
      </c>
      <c r="AH80" s="121">
        <f t="shared" si="89"/>
        <v>44621</v>
      </c>
      <c r="AI80" s="73">
        <f t="shared" si="81"/>
        <v>114.7743981061305</v>
      </c>
      <c r="AJ80" s="15">
        <f t="shared" si="90"/>
        <v>4.7429684460015658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56.915621352018789</v>
      </c>
      <c r="AO80" s="127">
        <f t="shared" ca="1" si="94"/>
        <v>4.7499002018139755</v>
      </c>
      <c r="AP80" s="127">
        <f t="shared" ca="1" si="130"/>
        <v>115.57275000083089</v>
      </c>
      <c r="AR80" s="121">
        <f t="shared" si="95"/>
        <v>44621</v>
      </c>
      <c r="AS80" s="73">
        <f t="shared" ref="AS80:AS102" si="135">+$AI80</f>
        <v>114.7743981061305</v>
      </c>
      <c r="AT80" s="15">
        <f t="shared" si="96"/>
        <v>4.7429684460015658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56.915621352018789</v>
      </c>
      <c r="AY80" s="127">
        <f t="shared" ca="1" si="100"/>
        <v>4.7440565265755792</v>
      </c>
      <c r="AZ80" s="127">
        <f t="shared" ca="1" si="131"/>
        <v>114.89934986556719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4.749775831855195</v>
      </c>
      <c r="BJ80" s="127">
        <f t="shared" ca="1" si="132"/>
        <v>115.55837711647318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4.6928673516539305</v>
      </c>
      <c r="BT80" s="127">
        <f t="shared" ca="1" si="133"/>
        <v>109.16574805996669</v>
      </c>
      <c r="BZ80" s="583">
        <f t="shared" si="113"/>
        <v>1</v>
      </c>
      <c r="CA80" s="121">
        <f t="shared" si="114"/>
        <v>44621</v>
      </c>
      <c r="CB80" s="127">
        <f t="shared" si="115"/>
        <v>114.7743981061305</v>
      </c>
      <c r="CC80" s="15">
        <f t="shared" si="116"/>
        <v>4.7429684460015658</v>
      </c>
      <c r="CD80" s="98">
        <f t="shared" si="117"/>
        <v>1</v>
      </c>
      <c r="CE80" s="128">
        <f>IF(CD80&gt;0,12,0)</f>
        <v>12</v>
      </c>
      <c r="CF80" s="128">
        <f t="shared" si="118"/>
        <v>144</v>
      </c>
      <c r="CG80" s="15">
        <f t="shared" si="119"/>
        <v>56.915621352018789</v>
      </c>
      <c r="CH80" s="127">
        <f t="shared" ca="1" si="120"/>
        <v>4.7471251624984001</v>
      </c>
      <c r="CI80" s="127">
        <f t="shared" ca="1" si="134"/>
        <v>115.25247566823361</v>
      </c>
      <c r="DQ80" s="121">
        <f t="shared" si="121"/>
        <v>44621</v>
      </c>
      <c r="DR80" s="98">
        <f t="shared" si="122"/>
        <v>1</v>
      </c>
      <c r="DS80" s="73">
        <f t="shared" si="123"/>
        <v>124.49229284762997</v>
      </c>
      <c r="DT80" s="295">
        <f t="shared" ca="1" si="127"/>
        <v>115.57275000083089</v>
      </c>
      <c r="DU80" s="295">
        <f t="shared" ca="1" si="128"/>
        <v>8.9195428467990752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113.56621836616137</v>
      </c>
      <c r="Z81" s="15">
        <f t="shared" si="84"/>
        <v>4.7323860885254607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61.521019150830988</v>
      </c>
      <c r="AE81" s="127">
        <f t="shared" ca="1" si="88"/>
        <v>4.7522533442192785</v>
      </c>
      <c r="AF81" s="127">
        <f t="shared" ca="1" si="129"/>
        <v>115.8450293701798</v>
      </c>
      <c r="AH81" s="121">
        <f t="shared" si="89"/>
        <v>44652</v>
      </c>
      <c r="AI81" s="73">
        <f t="shared" si="81"/>
        <v>117.908175398419</v>
      </c>
      <c r="AJ81" s="15">
        <f t="shared" si="90"/>
        <v>4.7699061469409818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62.008779910232761</v>
      </c>
      <c r="AO81" s="127">
        <f t="shared" ca="1" si="94"/>
        <v>4.7568481330122934</v>
      </c>
      <c r="AP81" s="127">
        <f t="shared" ca="1" si="130"/>
        <v>116.37853755294383</v>
      </c>
      <c r="AR81" s="121">
        <f t="shared" si="95"/>
        <v>44652</v>
      </c>
      <c r="AS81" s="73">
        <f>+$AI81</f>
        <v>117.908175398419</v>
      </c>
      <c r="AT81" s="15">
        <f t="shared" si="96"/>
        <v>4.7699061469409818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62.008779910232761</v>
      </c>
      <c r="AY81" s="127">
        <f t="shared" ca="1" si="100"/>
        <v>4.7514305605933469</v>
      </c>
      <c r="AZ81" s="127">
        <f t="shared" ca="1" si="131"/>
        <v>115.74975317808881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4.7567629016964785</v>
      </c>
      <c r="BJ81" s="127">
        <f t="shared" ca="1" si="132"/>
        <v>116.36861887975238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4.7032260361237652</v>
      </c>
      <c r="BT81" s="127">
        <f t="shared" ca="1" si="133"/>
        <v>110.30243874499328</v>
      </c>
      <c r="BZ81" s="583">
        <f t="shared" si="113"/>
        <v>1</v>
      </c>
      <c r="CA81" s="121">
        <f t="shared" si="114"/>
        <v>44652</v>
      </c>
      <c r="CB81" s="127">
        <f t="shared" si="115"/>
        <v>117.908175398419</v>
      </c>
      <c r="CC81" s="15">
        <f t="shared" si="116"/>
        <v>4.7699061469409818</v>
      </c>
      <c r="CD81" s="98">
        <f t="shared" si="117"/>
        <v>1</v>
      </c>
      <c r="CE81" s="128">
        <f>IF(CD81&gt;0,13,0)</f>
        <v>13</v>
      </c>
      <c r="CF81" s="128">
        <f t="shared" si="118"/>
        <v>169</v>
      </c>
      <c r="CG81" s="15">
        <f t="shared" si="119"/>
        <v>62.008779910232761</v>
      </c>
      <c r="CH81" s="127">
        <f t="shared" ca="1" si="120"/>
        <v>4.7543216967406208</v>
      </c>
      <c r="CI81" s="127">
        <f t="shared" ca="1" si="134"/>
        <v>116.08488569697131</v>
      </c>
      <c r="DQ81" s="121">
        <f t="shared" si="121"/>
        <v>44652</v>
      </c>
      <c r="DR81" s="98">
        <f t="shared" si="122"/>
        <v>1</v>
      </c>
      <c r="DS81" s="73">
        <f t="shared" si="123"/>
        <v>113.56621836616137</v>
      </c>
      <c r="DT81" s="295">
        <f t="shared" ca="1" si="127"/>
        <v>116.37853755294383</v>
      </c>
      <c r="DU81" s="295">
        <f t="shared" ca="1" si="128"/>
        <v>-2.8123191867824602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113.56621836616137</v>
      </c>
      <c r="EA81" s="127">
        <f ca="1">+AZ81</f>
        <v>115.74975317808881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115.66601498146562</v>
      </c>
      <c r="Z82" s="15">
        <f t="shared" si="84"/>
        <v>4.7507068570968745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66.509895999356246</v>
      </c>
      <c r="AE82" s="127">
        <f t="shared" ca="1" si="88"/>
        <v>4.7591581495407427</v>
      </c>
      <c r="AF82" s="127">
        <f t="shared" ca="1" si="129"/>
        <v>116.6476846456796</v>
      </c>
      <c r="AH82" s="121">
        <f t="shared" si="89"/>
        <v>44682</v>
      </c>
      <c r="AI82" s="73">
        <f t="shared" si="81"/>
        <v>115.84476506284757</v>
      </c>
      <c r="AJ82" s="15">
        <f t="shared" si="90"/>
        <v>4.752251062657133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66.531514877199868</v>
      </c>
      <c r="AO82" s="127">
        <f t="shared" ca="1" si="94"/>
        <v>4.7637960642106121</v>
      </c>
      <c r="AP82" s="127">
        <f t="shared" ca="1" si="130"/>
        <v>117.18994315584423</v>
      </c>
      <c r="AR82" s="121">
        <f t="shared" si="95"/>
        <v>44682</v>
      </c>
      <c r="AS82" s="73">
        <f t="shared" si="135"/>
        <v>115.84476506284757</v>
      </c>
      <c r="AT82" s="15">
        <f t="shared" si="96"/>
        <v>4.752251062657133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66.531514877199868</v>
      </c>
      <c r="AY82" s="127">
        <f t="shared" ca="1" si="100"/>
        <v>4.7588045946111146</v>
      </c>
      <c r="AZ82" s="127">
        <f t="shared" ca="1" si="131"/>
        <v>116.60645057142806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4.7637499715377629</v>
      </c>
      <c r="BJ82" s="127">
        <f t="shared" ca="1" si="132"/>
        <v>117.18454168261827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4.713584720593599</v>
      </c>
      <c r="BT82" s="127">
        <f t="shared" ca="1" si="133"/>
        <v>111.45096524607369</v>
      </c>
      <c r="BZ82" s="583">
        <f t="shared" si="113"/>
        <v>1</v>
      </c>
      <c r="CA82" s="121">
        <f t="shared" si="114"/>
        <v>44682</v>
      </c>
      <c r="CB82" s="127">
        <f t="shared" si="115"/>
        <v>115.84476506284757</v>
      </c>
      <c r="CC82" s="15">
        <f t="shared" si="116"/>
        <v>4.752251062657133</v>
      </c>
      <c r="CD82" s="98">
        <f t="shared" si="117"/>
        <v>1</v>
      </c>
      <c r="CE82" s="128">
        <f>IF(CD82&gt;0,14,0)</f>
        <v>14</v>
      </c>
      <c r="CF82" s="128">
        <f t="shared" si="118"/>
        <v>196</v>
      </c>
      <c r="CG82" s="15">
        <f t="shared" si="119"/>
        <v>66.531514877199868</v>
      </c>
      <c r="CH82" s="127">
        <f t="shared" ca="1" si="120"/>
        <v>4.7615182309828414</v>
      </c>
      <c r="CI82" s="127">
        <f t="shared" ca="1" si="134"/>
        <v>116.92330780008682</v>
      </c>
      <c r="DQ82" s="121">
        <f t="shared" si="121"/>
        <v>44682</v>
      </c>
      <c r="DR82" s="98">
        <f t="shared" si="122"/>
        <v>1</v>
      </c>
      <c r="DS82" s="73">
        <f t="shared" si="123"/>
        <v>115.66601498146562</v>
      </c>
      <c r="DT82" s="295">
        <f t="shared" ca="1" si="127"/>
        <v>117.18994315584423</v>
      </c>
      <c r="DU82" s="295">
        <f t="shared" ca="1" si="128"/>
        <v>-1.5239281743786108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115.66601498146562</v>
      </c>
      <c r="EA82" s="127">
        <f t="shared" ref="EA82:EA103" ca="1" si="138">+AZ82</f>
        <v>116.60645057142806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118.30206184091573</v>
      </c>
      <c r="Z83" s="15">
        <f t="shared" si="84"/>
        <v>4.7732411997497524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71.59861799624629</v>
      </c>
      <c r="AE83" s="127">
        <f t="shared" ca="1" si="88"/>
        <v>4.7660629548622069</v>
      </c>
      <c r="AF83" s="127">
        <f t="shared" ca="1" si="129"/>
        <v>117.45590127754306</v>
      </c>
      <c r="AH83" s="121">
        <f t="shared" si="89"/>
        <v>44713</v>
      </c>
      <c r="AI83" s="73">
        <f t="shared" si="81"/>
        <v>116.02512323526484</v>
      </c>
      <c r="AJ83" s="15">
        <f t="shared" si="90"/>
        <v>4.7538067472707377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71.307101209061059</v>
      </c>
      <c r="AO83" s="127">
        <f t="shared" ca="1" si="94"/>
        <v>4.7707439954089299</v>
      </c>
      <c r="AP83" s="127">
        <f t="shared" ca="1" si="130"/>
        <v>118.00700597927903</v>
      </c>
      <c r="AR83" s="121">
        <f t="shared" si="95"/>
        <v>44713</v>
      </c>
      <c r="AS83" s="73">
        <f t="shared" si="135"/>
        <v>116.02512323526484</v>
      </c>
      <c r="AT83" s="15">
        <f t="shared" si="96"/>
        <v>4.7538067472707377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71.307101209061059</v>
      </c>
      <c r="AY83" s="127">
        <f t="shared" ca="1" si="100"/>
        <v>4.7661786286288823</v>
      </c>
      <c r="AZ83" s="127">
        <f t="shared" ca="1" si="131"/>
        <v>117.46948862989706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4.7707370413790464</v>
      </c>
      <c r="BJ83" s="127">
        <f t="shared" ca="1" si="132"/>
        <v>118.00618535788631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4.7239434050634337</v>
      </c>
      <c r="BT83" s="127">
        <f t="shared" ca="1" si="133"/>
        <v>112.61145080389578</v>
      </c>
      <c r="BZ83" s="583">
        <f t="shared" si="113"/>
        <v>1</v>
      </c>
      <c r="CA83" s="121">
        <f t="shared" si="114"/>
        <v>44713</v>
      </c>
      <c r="CB83" s="127">
        <f t="shared" si="115"/>
        <v>116.02512323526484</v>
      </c>
      <c r="CC83" s="15">
        <f t="shared" si="116"/>
        <v>4.7538067472707377</v>
      </c>
      <c r="CD83" s="98">
        <f t="shared" si="117"/>
        <v>1</v>
      </c>
      <c r="CE83" s="128">
        <f>IF(CD83&gt;0,15,0)</f>
        <v>15</v>
      </c>
      <c r="CF83" s="128">
        <f t="shared" si="118"/>
        <v>225</v>
      </c>
      <c r="CG83" s="15">
        <f t="shared" si="119"/>
        <v>71.307101209061059</v>
      </c>
      <c r="CH83" s="127">
        <f t="shared" ca="1" si="120"/>
        <v>4.768714765225063</v>
      </c>
      <c r="CI83" s="127">
        <f t="shared" ca="1" si="134"/>
        <v>117.76778539973645</v>
      </c>
      <c r="DQ83" s="121">
        <f t="shared" si="121"/>
        <v>44713</v>
      </c>
      <c r="DR83" s="98">
        <f t="shared" si="122"/>
        <v>1</v>
      </c>
      <c r="DS83" s="73">
        <f t="shared" si="123"/>
        <v>118.30206184091573</v>
      </c>
      <c r="DT83" s="295">
        <f t="shared" ca="1" si="127"/>
        <v>118.00700597927903</v>
      </c>
      <c r="DU83" s="295">
        <f t="shared" ca="1" si="128"/>
        <v>0.29505586163669761</v>
      </c>
      <c r="DX83" s="121">
        <f t="shared" si="124"/>
        <v>44713</v>
      </c>
      <c r="DY83" s="98">
        <f t="shared" si="136"/>
        <v>1</v>
      </c>
      <c r="DZ83" s="281">
        <f t="shared" si="137"/>
        <v>118.30206184091573</v>
      </c>
      <c r="EA83" s="127">
        <f t="shared" ca="1" si="138"/>
        <v>117.46948862989706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114.10729288341315</v>
      </c>
      <c r="Z84" s="15">
        <f t="shared" si="84"/>
        <v>4.7371391714197824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75.794226742716518</v>
      </c>
      <c r="AE84" s="127">
        <f t="shared" ca="1" si="88"/>
        <v>4.772967760183672</v>
      </c>
      <c r="AF84" s="127">
        <f t="shared" ca="1" si="129"/>
        <v>118.26971779873153</v>
      </c>
      <c r="AH84" s="121">
        <f t="shared" si="89"/>
        <v>44743</v>
      </c>
      <c r="AI84" s="73">
        <f t="shared" si="81"/>
        <v>120.52442346559633</v>
      </c>
      <c r="AJ84" s="15">
        <f t="shared" si="90"/>
        <v>4.7918524167548044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76.669638668076871</v>
      </c>
      <c r="AO84" s="127">
        <f t="shared" ca="1" si="94"/>
        <v>4.7776919266072486</v>
      </c>
      <c r="AP84" s="127">
        <f t="shared" ca="1" si="130"/>
        <v>118.82976546609187</v>
      </c>
      <c r="AR84" s="121">
        <f t="shared" si="95"/>
        <v>44743</v>
      </c>
      <c r="AS84" s="73">
        <f t="shared" si="135"/>
        <v>120.52442346559633</v>
      </c>
      <c r="AT84" s="15">
        <f t="shared" si="96"/>
        <v>4.7918524167548044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76.669638668076871</v>
      </c>
      <c r="AY84" s="127">
        <f t="shared" ca="1" si="100"/>
        <v>4.7735526626466509</v>
      </c>
      <c r="AZ84" s="127">
        <f t="shared" ca="1" si="131"/>
        <v>118.33891428259201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4.7777241112203308</v>
      </c>
      <c r="BJ84" s="127">
        <f t="shared" ca="1" si="132"/>
        <v>118.83359001766156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4.7343020895332675</v>
      </c>
      <c r="BT84" s="127">
        <f t="shared" ca="1" si="133"/>
        <v>113.78401994239326</v>
      </c>
      <c r="BZ84" s="583">
        <f t="shared" si="113"/>
        <v>1</v>
      </c>
      <c r="CA84" s="121">
        <f t="shared" si="114"/>
        <v>44743</v>
      </c>
      <c r="CB84" s="127">
        <f t="shared" si="115"/>
        <v>120.52442346559633</v>
      </c>
      <c r="CC84" s="15">
        <f t="shared" si="116"/>
        <v>4.7918524167548044</v>
      </c>
      <c r="CD84" s="98">
        <f t="shared" si="117"/>
        <v>1</v>
      </c>
      <c r="CE84" s="128">
        <f>IF(CD84&gt;0,16,0)</f>
        <v>16</v>
      </c>
      <c r="CF84" s="128">
        <f t="shared" si="118"/>
        <v>256</v>
      </c>
      <c r="CG84" s="15">
        <f t="shared" si="119"/>
        <v>76.669638668076871</v>
      </c>
      <c r="CH84" s="127">
        <f t="shared" ca="1" si="120"/>
        <v>4.7759112994672837</v>
      </c>
      <c r="CI84" s="127">
        <f t="shared" ca="1" si="134"/>
        <v>118.61836223169243</v>
      </c>
      <c r="DQ84" s="121">
        <f t="shared" si="121"/>
        <v>44743</v>
      </c>
      <c r="DR84" s="98">
        <f t="shared" si="122"/>
        <v>1</v>
      </c>
      <c r="DS84" s="73">
        <f t="shared" si="123"/>
        <v>114.10729288341315</v>
      </c>
      <c r="DT84" s="295">
        <f t="shared" ca="1" si="127"/>
        <v>118.82976546609187</v>
      </c>
      <c r="DU84" s="295">
        <f t="shared" ca="1" si="128"/>
        <v>-4.7224725826787193</v>
      </c>
      <c r="DX84" s="121">
        <f t="shared" si="124"/>
        <v>44743</v>
      </c>
      <c r="DY84" s="98">
        <f t="shared" si="136"/>
        <v>1</v>
      </c>
      <c r="DZ84" s="281">
        <f t="shared" si="137"/>
        <v>114.10729288341315</v>
      </c>
      <c r="EA84" s="127">
        <f t="shared" ca="1" si="138"/>
        <v>118.33891428259201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129.16391567246009</v>
      </c>
      <c r="Z85" s="15">
        <f t="shared" si="84"/>
        <v>4.8610822618788223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82.638398451939977</v>
      </c>
      <c r="AE85" s="127">
        <f t="shared" ca="1" si="88"/>
        <v>4.7798725655051362</v>
      </c>
      <c r="AF85" s="127">
        <f t="shared" ca="1" si="129"/>
        <v>119.08917300918928</v>
      </c>
      <c r="AH85" s="121">
        <f t="shared" si="89"/>
        <v>44774</v>
      </c>
      <c r="AI85" s="73">
        <f t="shared" si="81"/>
        <v>122.91985919748379</v>
      </c>
      <c r="AJ85" s="15">
        <f t="shared" si="90"/>
        <v>4.8115325917806953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81.796054060271814</v>
      </c>
      <c r="AO85" s="127">
        <f t="shared" ca="1" si="94"/>
        <v>4.7846398578055664</v>
      </c>
      <c r="AP85" s="127">
        <f t="shared" ca="1" si="130"/>
        <v>119.65826133412641</v>
      </c>
      <c r="AR85" s="121">
        <f t="shared" si="95"/>
        <v>44774</v>
      </c>
      <c r="AS85" s="73">
        <f t="shared" si="135"/>
        <v>122.91985919748379</v>
      </c>
      <c r="AT85" s="15">
        <f t="shared" si="96"/>
        <v>4.8115325917806953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81.796054060271814</v>
      </c>
      <c r="AY85" s="127">
        <f t="shared" ca="1" si="100"/>
        <v>4.7809266966644186</v>
      </c>
      <c r="AZ85" s="127">
        <f t="shared" ca="1" si="131"/>
        <v>119.2147748059446</v>
      </c>
      <c r="BB85" s="121">
        <f t="shared" si="101"/>
        <v>44774</v>
      </c>
      <c r="BC85" s="73">
        <f t="shared" ref="BC85:BC102" si="139">+$AI85</f>
        <v>122.91985919748379</v>
      </c>
      <c r="BD85" s="15">
        <f t="shared" si="102"/>
        <v>4.8115325917806953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81.796054060271814</v>
      </c>
      <c r="BI85" s="127">
        <f t="shared" ca="1" si="106"/>
        <v>4.7847111810616143</v>
      </c>
      <c r="BJ85" s="127">
        <f t="shared" ca="1" si="132"/>
        <v>119.66679605529622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4.7446607740031022</v>
      </c>
      <c r="BT85" s="127">
        <f t="shared" ca="1" si="133"/>
        <v>114.96879848210841</v>
      </c>
      <c r="BZ85" s="583">
        <f t="shared" si="113"/>
        <v>1</v>
      </c>
      <c r="CA85" s="121">
        <f t="shared" si="114"/>
        <v>44774</v>
      </c>
      <c r="CB85" s="127">
        <f t="shared" si="115"/>
        <v>122.91985919748379</v>
      </c>
      <c r="CC85" s="15">
        <f t="shared" si="116"/>
        <v>4.8115325917806953</v>
      </c>
      <c r="CD85" s="98">
        <f t="shared" si="117"/>
        <v>1</v>
      </c>
      <c r="CE85" s="128">
        <f>IF(CD85&gt;0,17,0)</f>
        <v>17</v>
      </c>
      <c r="CF85" s="128">
        <f t="shared" si="118"/>
        <v>289</v>
      </c>
      <c r="CG85" s="15">
        <f t="shared" si="119"/>
        <v>81.796054060271814</v>
      </c>
      <c r="CH85" s="127">
        <f t="shared" ca="1" si="120"/>
        <v>4.7831078337095043</v>
      </c>
      <c r="CI85" s="127">
        <f t="shared" ca="1" si="134"/>
        <v>119.47508234760849</v>
      </c>
      <c r="DQ85" s="121">
        <f t="shared" si="121"/>
        <v>44774</v>
      </c>
      <c r="DR85" s="98">
        <f t="shared" si="122"/>
        <v>1</v>
      </c>
      <c r="DS85" s="73">
        <f t="shared" si="123"/>
        <v>129.16391567246009</v>
      </c>
      <c r="DT85" s="295">
        <f t="shared" ca="1" si="127"/>
        <v>119.65826133412641</v>
      </c>
      <c r="DU85" s="295">
        <f t="shared" ca="1" si="128"/>
        <v>9.5056543383336844</v>
      </c>
      <c r="DX85" s="121">
        <f t="shared" si="124"/>
        <v>44774</v>
      </c>
      <c r="DY85" s="98">
        <f t="shared" si="136"/>
        <v>1</v>
      </c>
      <c r="DZ85" s="281">
        <f t="shared" si="137"/>
        <v>129.16391567246009</v>
      </c>
      <c r="EA85" s="127">
        <f t="shared" ca="1" si="138"/>
        <v>119.2147748059446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125.48836903657812</v>
      </c>
      <c r="Z86" s="15">
        <f t="shared" si="84"/>
        <v>4.8322130772776823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86.979835390998289</v>
      </c>
      <c r="AE86" s="127">
        <f t="shared" ca="1" si="88"/>
        <v>4.7867773708266004</v>
      </c>
      <c r="AF86" s="127">
        <f t="shared" ca="1" si="129"/>
        <v>119.914305977694</v>
      </c>
      <c r="AH86" s="121">
        <f t="shared" si="89"/>
        <v>44805</v>
      </c>
      <c r="AI86" s="73">
        <f t="shared" si="81"/>
        <v>127.29693168681895</v>
      </c>
      <c r="AJ86" s="15">
        <f t="shared" si="90"/>
        <v>4.8465224022628153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87.237403240730671</v>
      </c>
      <c r="AO86" s="127">
        <f t="shared" ca="1" si="94"/>
        <v>4.7915877890038843</v>
      </c>
      <c r="AP86" s="127">
        <f t="shared" ca="1" si="130"/>
        <v>120.49253357814433</v>
      </c>
      <c r="AR86" s="121">
        <f t="shared" si="95"/>
        <v>44805</v>
      </c>
      <c r="AS86" s="73">
        <f t="shared" si="135"/>
        <v>127.29693168681895</v>
      </c>
      <c r="AT86" s="15">
        <f t="shared" si="96"/>
        <v>4.8465224022628153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87.237403240730671</v>
      </c>
      <c r="AY86" s="127">
        <f t="shared" ca="1" si="100"/>
        <v>4.7883007306821863</v>
      </c>
      <c r="AZ86" s="127">
        <f t="shared" ca="1" si="131"/>
        <v>120.09711782629336</v>
      </c>
      <c r="BB86" s="121">
        <f t="shared" si="101"/>
        <v>44805</v>
      </c>
      <c r="BC86" s="73">
        <f t="shared" si="139"/>
        <v>127.29693168681895</v>
      </c>
      <c r="BD86" s="15">
        <f t="shared" si="102"/>
        <v>4.8465224022628153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87.237403240730671</v>
      </c>
      <c r="BI86" s="127">
        <f t="shared" ca="1" si="106"/>
        <v>4.7916982509028987</v>
      </c>
      <c r="BJ86" s="127">
        <f t="shared" ca="1" si="132"/>
        <v>120.50584414736228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4.7550194584729359</v>
      </c>
      <c r="BT86" s="127">
        <f t="shared" ca="1" si="133"/>
        <v>116.16591355369216</v>
      </c>
      <c r="BZ86" s="583">
        <f t="shared" si="113"/>
        <v>1</v>
      </c>
      <c r="CA86" s="121">
        <f t="shared" si="114"/>
        <v>44805</v>
      </c>
      <c r="CB86" s="127">
        <f t="shared" si="115"/>
        <v>127.29693168681895</v>
      </c>
      <c r="CC86" s="15">
        <f t="shared" si="116"/>
        <v>4.8465224022628153</v>
      </c>
      <c r="CD86" s="98">
        <f t="shared" si="117"/>
        <v>1</v>
      </c>
      <c r="CE86" s="128">
        <f>IF(CD86&gt;0,18,0)</f>
        <v>18</v>
      </c>
      <c r="CF86" s="128">
        <f t="shared" si="118"/>
        <v>324</v>
      </c>
      <c r="CG86" s="15">
        <f t="shared" si="119"/>
        <v>87.237403240730671</v>
      </c>
      <c r="CH86" s="127">
        <f t="shared" ca="1" si="120"/>
        <v>4.790304367951725</v>
      </c>
      <c r="CI86" s="127">
        <f t="shared" ca="1" si="134"/>
        <v>120.33799011730098</v>
      </c>
      <c r="DQ86" s="121">
        <f t="shared" si="121"/>
        <v>44805</v>
      </c>
      <c r="DR86" s="98">
        <f t="shared" si="122"/>
        <v>1</v>
      </c>
      <c r="DS86" s="73">
        <f t="shared" si="123"/>
        <v>125.48836903657812</v>
      </c>
      <c r="DT86" s="295">
        <f t="shared" ca="1" si="127"/>
        <v>120.49253357814433</v>
      </c>
      <c r="DU86" s="295">
        <f t="shared" ca="1" si="128"/>
        <v>4.9958354584337883</v>
      </c>
      <c r="DX86" s="121">
        <f t="shared" si="124"/>
        <v>44805</v>
      </c>
      <c r="DY86" s="98">
        <f t="shared" si="136"/>
        <v>1</v>
      </c>
      <c r="DZ86" s="281">
        <f t="shared" si="137"/>
        <v>125.48836903657812</v>
      </c>
      <c r="EA86" s="127">
        <f t="shared" ca="1" si="138"/>
        <v>120.09711782629336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127.23851035141863</v>
      </c>
      <c r="Z87" s="15">
        <f t="shared" si="84"/>
        <v>4.8460633594202278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92.075203828984328</v>
      </c>
      <c r="AE87" s="127">
        <f t="shared" ca="1" si="88"/>
        <v>4.7936821761480655</v>
      </c>
      <c r="AF87" s="127">
        <f t="shared" ca="1" si="129"/>
        <v>120.74515604371921</v>
      </c>
      <c r="AH87" s="121">
        <f t="shared" si="89"/>
        <v>44835</v>
      </c>
      <c r="AI87" s="73">
        <f t="shared" si="81"/>
        <v>124.08701380410388</v>
      </c>
      <c r="AJ87" s="15">
        <f t="shared" si="90"/>
        <v>4.8209830437383552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91.598677831028752</v>
      </c>
      <c r="AO87" s="127">
        <f t="shared" ca="1" si="94"/>
        <v>4.798535720202203</v>
      </c>
      <c r="AP87" s="127">
        <f t="shared" ca="1" si="130"/>
        <v>121.3326224717558</v>
      </c>
      <c r="AR87" s="121">
        <f t="shared" si="95"/>
        <v>44835</v>
      </c>
      <c r="AS87" s="73">
        <f t="shared" si="135"/>
        <v>124.08701380410388</v>
      </c>
      <c r="AT87" s="15">
        <f t="shared" si="96"/>
        <v>4.8209830437383552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91.598677831028752</v>
      </c>
      <c r="AY87" s="127">
        <f t="shared" ca="1" si="100"/>
        <v>4.795674764699954</v>
      </c>
      <c r="AZ87" s="127">
        <f t="shared" ca="1" si="131"/>
        <v>120.98599132247304</v>
      </c>
      <c r="BB87" s="121">
        <f t="shared" si="101"/>
        <v>44835</v>
      </c>
      <c r="BC87" s="73">
        <f t="shared" si="139"/>
        <v>124.08701380410388</v>
      </c>
      <c r="BD87" s="15">
        <f t="shared" si="102"/>
        <v>4.8209830437383552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91.598677831028752</v>
      </c>
      <c r="BI87" s="127">
        <f t="shared" ca="1" si="106"/>
        <v>4.7986853207441822</v>
      </c>
      <c r="BJ87" s="127">
        <f t="shared" ca="1" si="132"/>
        <v>121.35077525563662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4.7653781429427706</v>
      </c>
      <c r="BT87" s="127">
        <f t="shared" ca="1" si="133"/>
        <v>117.3754936115465</v>
      </c>
      <c r="BZ87" s="583">
        <f t="shared" si="113"/>
        <v>1</v>
      </c>
      <c r="CA87" s="121">
        <f t="shared" si="114"/>
        <v>44835</v>
      </c>
      <c r="CB87" s="127">
        <f t="shared" si="115"/>
        <v>124.08701380410388</v>
      </c>
      <c r="CC87" s="15">
        <f t="shared" si="116"/>
        <v>4.8209830437383552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91.598677831028752</v>
      </c>
      <c r="CH87" s="127">
        <f t="shared" ca="1" si="120"/>
        <v>4.7975009021939456</v>
      </c>
      <c r="CI87" s="127">
        <f t="shared" ca="1" si="134"/>
        <v>121.20713023104682</v>
      </c>
      <c r="DQ87" s="121">
        <f t="shared" si="121"/>
        <v>44835</v>
      </c>
      <c r="DR87" s="98">
        <f t="shared" si="122"/>
        <v>1</v>
      </c>
      <c r="DS87" s="73">
        <f t="shared" si="123"/>
        <v>127.23851035141863</v>
      </c>
      <c r="DT87" s="295">
        <f t="shared" ca="1" si="127"/>
        <v>121.3326224717558</v>
      </c>
      <c r="DU87" s="295">
        <f t="shared" ca="1" si="128"/>
        <v>5.9058878796628278</v>
      </c>
      <c r="DX87" s="121">
        <f t="shared" si="124"/>
        <v>44835</v>
      </c>
      <c r="DY87" s="98">
        <f t="shared" si="136"/>
        <v>1</v>
      </c>
      <c r="DZ87" s="281">
        <f t="shared" si="137"/>
        <v>127.23851035141863</v>
      </c>
      <c r="EA87" s="127">
        <f t="shared" ca="1" si="138"/>
        <v>120.98599132247304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127.23851035141863</v>
      </c>
      <c r="EF87" s="127">
        <f ca="1">+BJ87</f>
        <v>121.35077525563662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119.53416202431487</v>
      </c>
      <c r="Z88" s="15">
        <f t="shared" si="84"/>
        <v>4.7836022051976439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95.672044103952885</v>
      </c>
      <c r="AE88" s="127">
        <f t="shared" ca="1" si="88"/>
        <v>4.8005869814695297</v>
      </c>
      <c r="AF88" s="127">
        <f t="shared" ca="1" si="129"/>
        <v>121.58176281930939</v>
      </c>
      <c r="AH88" s="121">
        <f t="shared" si="89"/>
        <v>44866</v>
      </c>
      <c r="AI88" s="73">
        <f t="shared" si="81"/>
        <v>122.21510690503203</v>
      </c>
      <c r="AJ88" s="15">
        <f t="shared" si="90"/>
        <v>4.8057826635240559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96.115653270481118</v>
      </c>
      <c r="AO88" s="127">
        <f t="shared" ca="1" si="94"/>
        <v>4.8054836514005208</v>
      </c>
      <c r="AP88" s="127">
        <f t="shared" ca="1" si="130"/>
        <v>122.17856856936321</v>
      </c>
      <c r="AR88" s="121">
        <f t="shared" si="95"/>
        <v>44866</v>
      </c>
      <c r="AS88" s="73">
        <f t="shared" si="135"/>
        <v>122.21510690503203</v>
      </c>
      <c r="AT88" s="15">
        <f t="shared" si="96"/>
        <v>4.8057826635240559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96.115653270481118</v>
      </c>
      <c r="AY88" s="127">
        <f t="shared" ca="1" si="100"/>
        <v>4.8030487987177217</v>
      </c>
      <c r="AZ88" s="127">
        <f t="shared" ca="1" si="131"/>
        <v>121.8814436284236</v>
      </c>
      <c r="BB88" s="121">
        <f t="shared" si="101"/>
        <v>44866</v>
      </c>
      <c r="BC88" s="73">
        <f t="shared" si="139"/>
        <v>122.21510690503203</v>
      </c>
      <c r="BD88" s="15">
        <f t="shared" si="102"/>
        <v>4.8057826635240559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96.115653270481118</v>
      </c>
      <c r="BI88" s="127">
        <f t="shared" ca="1" si="106"/>
        <v>4.8056723905854666</v>
      </c>
      <c r="BJ88" s="127">
        <f t="shared" ca="1" si="132"/>
        <v>122.20163062910154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4.7757368274126053</v>
      </c>
      <c r="BT88" s="127">
        <f t="shared" ca="1" si="133"/>
        <v>118.5976684476073</v>
      </c>
      <c r="BZ88" s="583">
        <f t="shared" si="113"/>
        <v>1</v>
      </c>
      <c r="CA88" s="121">
        <f t="shared" si="114"/>
        <v>44866</v>
      </c>
      <c r="CB88" s="127">
        <f t="shared" si="115"/>
        <v>122.21510690503203</v>
      </c>
      <c r="CC88" s="15">
        <f t="shared" si="116"/>
        <v>4.8057826635240559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96.115653270481118</v>
      </c>
      <c r="CH88" s="127">
        <f t="shared" ca="1" si="120"/>
        <v>4.8046974364361663</v>
      </c>
      <c r="CI88" s="127">
        <f t="shared" ca="1" si="134"/>
        <v>122.08254770189815</v>
      </c>
      <c r="DQ88" s="121">
        <f t="shared" si="121"/>
        <v>44866</v>
      </c>
      <c r="DR88" s="98">
        <f t="shared" si="122"/>
        <v>1</v>
      </c>
      <c r="DS88" s="73">
        <f t="shared" si="123"/>
        <v>119.53416202431487</v>
      </c>
      <c r="DT88" s="295">
        <f t="shared" ca="1" si="127"/>
        <v>122.17856856936321</v>
      </c>
      <c r="DU88" s="295">
        <f t="shared" ca="1" si="128"/>
        <v>-2.6444065450483407</v>
      </c>
      <c r="DX88" s="121">
        <f t="shared" si="124"/>
        <v>44866</v>
      </c>
      <c r="DY88" s="98">
        <f t="shared" si="136"/>
        <v>1</v>
      </c>
      <c r="DZ88" s="281">
        <f t="shared" si="137"/>
        <v>119.53416202431487</v>
      </c>
      <c r="EA88" s="127">
        <f t="shared" ca="1" si="138"/>
        <v>121.8814436284236</v>
      </c>
      <c r="EC88" s="121">
        <f t="shared" si="125"/>
        <v>44866</v>
      </c>
      <c r="ED88" s="98">
        <f t="shared" si="140"/>
        <v>1</v>
      </c>
      <c r="EE88" s="281">
        <f t="shared" si="141"/>
        <v>119.53416202431487</v>
      </c>
      <c r="EF88" s="127">
        <f t="shared" ref="EF88:EF103" ca="1" si="142">+BJ88</f>
        <v>122.20163062910154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119.87264833936263</v>
      </c>
      <c r="Z89" s="15">
        <f t="shared" si="84"/>
        <v>4.7864299154041889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100.51502822348797</v>
      </c>
      <c r="AE89" s="127">
        <f t="shared" ca="1" si="88"/>
        <v>4.8074917867909939</v>
      </c>
      <c r="AF89" s="127">
        <f t="shared" ca="1" si="129"/>
        <v>122.42416619096933</v>
      </c>
      <c r="AH89" s="121">
        <f t="shared" si="89"/>
        <v>44896</v>
      </c>
      <c r="AI89" s="73">
        <f t="shared" si="81"/>
        <v>118.47352876371419</v>
      </c>
      <c r="AJ89" s="15">
        <f t="shared" si="90"/>
        <v>4.7746895496606081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100.26848054287277</v>
      </c>
      <c r="AO89" s="127">
        <f t="shared" ca="1" si="94"/>
        <v>4.8124315825988395</v>
      </c>
      <c r="AP89" s="127">
        <f t="shared" ca="1" si="130"/>
        <v>123.03041270811974</v>
      </c>
      <c r="AR89" s="121">
        <f t="shared" si="95"/>
        <v>44896</v>
      </c>
      <c r="AS89" s="73">
        <f t="shared" si="135"/>
        <v>118.47352876371419</v>
      </c>
      <c r="AT89" s="15">
        <f t="shared" si="96"/>
        <v>4.7746895496606081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100.26848054287277</v>
      </c>
      <c r="AY89" s="127">
        <f t="shared" ca="1" si="100"/>
        <v>4.8104228327354894</v>
      </c>
      <c r="AZ89" s="127">
        <f t="shared" ca="1" si="131"/>
        <v>122.78352343581848</v>
      </c>
      <c r="BB89" s="121">
        <f t="shared" si="101"/>
        <v>44896</v>
      </c>
      <c r="BC89" s="73">
        <f t="shared" si="139"/>
        <v>118.47352876371419</v>
      </c>
      <c r="BD89" s="15">
        <f t="shared" si="102"/>
        <v>4.7746895496606081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100.26848054287277</v>
      </c>
      <c r="BI89" s="127">
        <f t="shared" ca="1" si="106"/>
        <v>4.8126594604267501</v>
      </c>
      <c r="BJ89" s="127">
        <f t="shared" ca="1" si="132"/>
        <v>123.05845180595763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4.7860955118824391</v>
      </c>
      <c r="BT89" s="127">
        <f t="shared" ca="1" si="133"/>
        <v>119.83256920527172</v>
      </c>
      <c r="BZ89" s="583">
        <f t="shared" si="113"/>
        <v>1</v>
      </c>
      <c r="CA89" s="121">
        <f t="shared" si="114"/>
        <v>44896</v>
      </c>
      <c r="CB89" s="127">
        <f t="shared" si="115"/>
        <v>118.47352876371419</v>
      </c>
      <c r="CC89" s="15">
        <f t="shared" si="116"/>
        <v>4.7746895496606081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100.26848054287277</v>
      </c>
      <c r="CH89" s="127">
        <f t="shared" ca="1" si="120"/>
        <v>4.811893970678387</v>
      </c>
      <c r="CI89" s="127">
        <f t="shared" ca="1" si="134"/>
        <v>122.96428786801346</v>
      </c>
      <c r="DQ89" s="121">
        <f t="shared" si="121"/>
        <v>44896</v>
      </c>
      <c r="DR89" s="98">
        <f t="shared" si="122"/>
        <v>1</v>
      </c>
      <c r="DS89" s="73">
        <f t="shared" si="123"/>
        <v>119.87264833936263</v>
      </c>
      <c r="DT89" s="295">
        <f t="shared" ca="1" si="127"/>
        <v>123.03041270811974</v>
      </c>
      <c r="DU89" s="295">
        <f t="shared" ca="1" si="128"/>
        <v>-3.157764368757114</v>
      </c>
      <c r="DX89" s="121">
        <f t="shared" si="124"/>
        <v>44896</v>
      </c>
      <c r="DY89" s="98">
        <f t="shared" si="136"/>
        <v>1</v>
      </c>
      <c r="DZ89" s="281">
        <f t="shared" si="137"/>
        <v>119.87264833936263</v>
      </c>
      <c r="EA89" s="127">
        <f t="shared" ca="1" si="138"/>
        <v>122.78352343581848</v>
      </c>
      <c r="EC89" s="121">
        <f t="shared" si="125"/>
        <v>44896</v>
      </c>
      <c r="ED89" s="98">
        <f t="shared" si="140"/>
        <v>1</v>
      </c>
      <c r="EE89" s="281">
        <f t="shared" si="141"/>
        <v>119.87264833936263</v>
      </c>
      <c r="EF89" s="127">
        <f t="shared" ca="1" si="142"/>
        <v>123.05845180595763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116.01377592746509</v>
      </c>
      <c r="Z90" s="15">
        <f t="shared" si="84"/>
        <v>4.7537089420505811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104.58159672511279</v>
      </c>
      <c r="AE90" s="127">
        <f t="shared" ca="1" si="88"/>
        <v>4.8143965921124581</v>
      </c>
      <c r="AF90" s="127">
        <f t="shared" ca="1" si="129"/>
        <v>123.27240632156521</v>
      </c>
      <c r="AH90" s="121">
        <f t="shared" si="89"/>
        <v>44927</v>
      </c>
      <c r="AI90" s="73">
        <f t="shared" si="81"/>
        <v>117.78782926973163</v>
      </c>
      <c r="AJ90" s="15">
        <f t="shared" si="90"/>
        <v>4.7688849489846108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104.91546887766144</v>
      </c>
      <c r="AO90" s="127">
        <f t="shared" ca="1" si="94"/>
        <v>4.8193795137971573</v>
      </c>
      <c r="AP90" s="127">
        <f t="shared" ca="1" si="130"/>
        <v>123.88819600989986</v>
      </c>
      <c r="AR90" s="121">
        <f t="shared" si="95"/>
        <v>44927</v>
      </c>
      <c r="AS90" s="73">
        <f t="shared" si="135"/>
        <v>117.78782926973163</v>
      </c>
      <c r="AT90" s="15">
        <f t="shared" si="96"/>
        <v>4.7688849489846108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104.91546887766144</v>
      </c>
      <c r="AY90" s="127">
        <f t="shared" ca="1" si="100"/>
        <v>4.817796866753258</v>
      </c>
      <c r="AZ90" s="127">
        <f t="shared" ca="1" si="131"/>
        <v>123.69227979671237</v>
      </c>
      <c r="BB90" s="121">
        <f t="shared" si="101"/>
        <v>44927</v>
      </c>
      <c r="BC90" s="73">
        <f t="shared" si="139"/>
        <v>117.78782926973163</v>
      </c>
      <c r="BD90" s="15">
        <f t="shared" si="102"/>
        <v>4.7688849489846108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104.91546887766144</v>
      </c>
      <c r="BI90" s="127">
        <f t="shared" ca="1" si="106"/>
        <v>4.8196465302680345</v>
      </c>
      <c r="BJ90" s="127">
        <f t="shared" ca="1" si="132"/>
        <v>123.92128061565252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4.7964541963522738</v>
      </c>
      <c r="BT90" s="127">
        <f t="shared" ca="1" si="133"/>
        <v>121.08032839347069</v>
      </c>
      <c r="BZ90" s="583">
        <f t="shared" si="113"/>
        <v>1</v>
      </c>
      <c r="CA90" s="121">
        <f t="shared" si="114"/>
        <v>44927</v>
      </c>
      <c r="CB90" s="127">
        <f t="shared" si="115"/>
        <v>117.78782926973163</v>
      </c>
      <c r="CC90" s="15">
        <f t="shared" si="116"/>
        <v>4.7688849489846108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104.91546887766144</v>
      </c>
      <c r="CH90" s="127">
        <f t="shared" ca="1" si="120"/>
        <v>4.8190905049206076</v>
      </c>
      <c r="CI90" s="127">
        <f t="shared" ca="1" si="134"/>
        <v>123.85239639500568</v>
      </c>
      <c r="DQ90" s="121">
        <f t="shared" si="121"/>
        <v>44927</v>
      </c>
      <c r="DR90" s="98">
        <f t="shared" si="122"/>
        <v>1</v>
      </c>
      <c r="DS90" s="73">
        <f t="shared" si="123"/>
        <v>116.01377592746509</v>
      </c>
      <c r="DT90" s="295">
        <f t="shared" ca="1" si="127"/>
        <v>123.88819600989986</v>
      </c>
      <c r="DU90" s="295">
        <f t="shared" ca="1" si="128"/>
        <v>-7.8744200824347672</v>
      </c>
      <c r="DX90" s="121">
        <f t="shared" si="124"/>
        <v>44927</v>
      </c>
      <c r="DY90" s="98">
        <f t="shared" si="136"/>
        <v>1</v>
      </c>
      <c r="DZ90" s="281">
        <f t="shared" si="137"/>
        <v>116.01377592746509</v>
      </c>
      <c r="EA90" s="127">
        <f t="shared" ca="1" si="138"/>
        <v>123.69227979671237</v>
      </c>
      <c r="EC90" s="121">
        <f t="shared" si="125"/>
        <v>44927</v>
      </c>
      <c r="ED90" s="98">
        <f t="shared" si="140"/>
        <v>1</v>
      </c>
      <c r="EE90" s="281">
        <f t="shared" si="141"/>
        <v>116.01377592746509</v>
      </c>
      <c r="EF90" s="127">
        <f t="shared" ca="1" si="142"/>
        <v>123.92128061565252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117.47706354236719</v>
      </c>
      <c r="Z91" s="15">
        <f t="shared" si="84"/>
        <v>4.7662431106347061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109.62359154459824</v>
      </c>
      <c r="AE91" s="127">
        <f t="shared" ca="1" si="88"/>
        <v>4.8213013974339232</v>
      </c>
      <c r="AF91" s="127">
        <f t="shared" ca="1" si="129"/>
        <v>124.12652365223975</v>
      </c>
      <c r="AH91" s="121">
        <f t="shared" si="89"/>
        <v>44958</v>
      </c>
      <c r="AI91" s="73">
        <f t="shared" si="81"/>
        <v>122.35160906160434</v>
      </c>
      <c r="AJ91" s="15">
        <f t="shared" si="90"/>
        <v>4.806898941102606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110.55867564535994</v>
      </c>
      <c r="AO91" s="127">
        <f t="shared" ca="1" si="94"/>
        <v>4.8263274449954752</v>
      </c>
      <c r="AP91" s="127">
        <f t="shared" ca="1" si="130"/>
        <v>124.75195988328512</v>
      </c>
      <c r="AR91" s="121">
        <f t="shared" si="95"/>
        <v>44958</v>
      </c>
      <c r="AS91" s="73">
        <f t="shared" si="135"/>
        <v>122.35160906160434</v>
      </c>
      <c r="AT91" s="15">
        <f t="shared" si="96"/>
        <v>4.806898941102606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110.55867564535994</v>
      </c>
      <c r="AY91" s="127">
        <f t="shared" ca="1" si="100"/>
        <v>4.8251709007710257</v>
      </c>
      <c r="AZ91" s="127">
        <f t="shared" ca="1" si="131"/>
        <v>124.6077621262081</v>
      </c>
      <c r="BB91" s="121">
        <f t="shared" si="101"/>
        <v>44958</v>
      </c>
      <c r="BC91" s="73">
        <f t="shared" si="139"/>
        <v>122.35160906160434</v>
      </c>
      <c r="BD91" s="15">
        <f t="shared" si="102"/>
        <v>4.806898941102606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110.55867564535994</v>
      </c>
      <c r="BI91" s="127">
        <f t="shared" ca="1" si="106"/>
        <v>4.826633600109318</v>
      </c>
      <c r="BJ91" s="127">
        <f t="shared" ca="1" si="132"/>
        <v>124.79015918092209</v>
      </c>
      <c r="BL91" s="121">
        <f t="shared" si="107"/>
        <v>44958</v>
      </c>
      <c r="BM91" s="73">
        <f t="shared" ref="BM91:BM102" si="143">+$AI91</f>
        <v>122.35160906160434</v>
      </c>
      <c r="BN91" s="15">
        <f t="shared" si="108"/>
        <v>4.806898941102606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110.55867564535994</v>
      </c>
      <c r="BS91" s="127">
        <f t="shared" ca="1" si="112"/>
        <v>4.8068128808221076</v>
      </c>
      <c r="BT91" s="127">
        <f t="shared" ca="1" si="133"/>
        <v>122.34107990088678</v>
      </c>
      <c r="BZ91" s="583">
        <f t="shared" si="113"/>
        <v>1</v>
      </c>
      <c r="CA91" s="121">
        <f t="shared" si="114"/>
        <v>44958</v>
      </c>
      <c r="CB91" s="127">
        <f t="shared" si="115"/>
        <v>122.35160906160434</v>
      </c>
      <c r="CC91" s="15">
        <f t="shared" si="116"/>
        <v>4.806898941102606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110.55867564535994</v>
      </c>
      <c r="CH91" s="127">
        <f t="shared" ca="1" si="120"/>
        <v>4.8262870391628283</v>
      </c>
      <c r="CI91" s="127">
        <f t="shared" ca="1" si="134"/>
        <v>124.74691927830732</v>
      </c>
      <c r="DQ91" s="121">
        <f t="shared" si="121"/>
        <v>44958</v>
      </c>
      <c r="DR91" s="98">
        <f t="shared" si="122"/>
        <v>1</v>
      </c>
      <c r="DS91" s="73">
        <f t="shared" si="123"/>
        <v>117.47706354236719</v>
      </c>
      <c r="DT91" s="295">
        <f t="shared" ca="1" si="127"/>
        <v>124.75195988328512</v>
      </c>
      <c r="DU91" s="295">
        <f t="shared" ca="1" si="128"/>
        <v>-7.2748963409179339</v>
      </c>
      <c r="DX91" s="121">
        <f t="shared" si="124"/>
        <v>44958</v>
      </c>
      <c r="DY91" s="98">
        <f t="shared" si="136"/>
        <v>1</v>
      </c>
      <c r="DZ91" s="281">
        <f t="shared" si="137"/>
        <v>117.47706354236719</v>
      </c>
      <c r="EA91" s="127">
        <f t="shared" ca="1" si="138"/>
        <v>124.6077621262081</v>
      </c>
      <c r="EC91" s="121">
        <f t="shared" si="125"/>
        <v>44958</v>
      </c>
      <c r="ED91" s="98">
        <f t="shared" si="140"/>
        <v>1</v>
      </c>
      <c r="EE91" s="281">
        <f t="shared" si="141"/>
        <v>117.47706354236719</v>
      </c>
      <c r="EF91" s="127">
        <f t="shared" ca="1" si="142"/>
        <v>124.79015918092209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133.5639877149807</v>
      </c>
      <c r="Z92" s="15">
        <f t="shared" si="84"/>
        <v>4.8945806717350155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117.46993612164037</v>
      </c>
      <c r="AE92" s="127">
        <f t="shared" ca="1" si="88"/>
        <v>4.8282062027553874</v>
      </c>
      <c r="AF92" s="127">
        <f t="shared" ca="1" si="129"/>
        <v>124.9865589043398</v>
      </c>
      <c r="AH92" s="121">
        <f t="shared" si="89"/>
        <v>44986</v>
      </c>
      <c r="AI92" s="73">
        <f t="shared" ca="1" si="81"/>
        <v>123.21567307421599</v>
      </c>
      <c r="AJ92" s="15">
        <f t="shared" ca="1" si="90"/>
        <v>4.8139362595195783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115.53447022846987</v>
      </c>
      <c r="AO92" s="127">
        <f t="shared" ca="1" si="94"/>
        <v>4.8332753761937939</v>
      </c>
      <c r="AP92" s="127">
        <f t="shared" ca="1" si="130"/>
        <v>125.62174602556291</v>
      </c>
      <c r="AR92" s="121">
        <f t="shared" si="95"/>
        <v>44986</v>
      </c>
      <c r="AS92" s="73">
        <f t="shared" ca="1" si="135"/>
        <v>123.21567307421599</v>
      </c>
      <c r="AT92" s="15">
        <f t="shared" ca="1" si="96"/>
        <v>4.8139362595195783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115.53447022846987</v>
      </c>
      <c r="AY92" s="127">
        <f t="shared" ca="1" si="100"/>
        <v>4.8325449347887934</v>
      </c>
      <c r="AZ92" s="127">
        <f t="shared" ca="1" si="131"/>
        <v>125.53002020514427</v>
      </c>
      <c r="BB92" s="121">
        <f t="shared" si="101"/>
        <v>44986</v>
      </c>
      <c r="BC92" s="73">
        <f t="shared" ca="1" si="139"/>
        <v>123.21567307421599</v>
      </c>
      <c r="BD92" s="15">
        <f t="shared" ca="1" si="102"/>
        <v>4.8139362595195783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115.53447022846987</v>
      </c>
      <c r="BI92" s="127">
        <f t="shared" ca="1" si="106"/>
        <v>4.8336206699506024</v>
      </c>
      <c r="BJ92" s="127">
        <f t="shared" ca="1" si="132"/>
        <v>125.66512991984779</v>
      </c>
      <c r="BL92" s="121">
        <f t="shared" si="107"/>
        <v>44986</v>
      </c>
      <c r="BM92" s="73">
        <f t="shared" ca="1" si="143"/>
        <v>123.21567307421599</v>
      </c>
      <c r="BN92" s="15">
        <f t="shared" ca="1" si="108"/>
        <v>4.8139362595195783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115.53447022846987</v>
      </c>
      <c r="BS92" s="127">
        <f t="shared" ca="1" si="112"/>
        <v>4.8171715652919422</v>
      </c>
      <c r="BT92" s="127">
        <f t="shared" ca="1" si="133"/>
        <v>123.61495901032175</v>
      </c>
      <c r="BZ92" s="583">
        <f t="shared" si="113"/>
        <v>1</v>
      </c>
      <c r="CA92" s="121">
        <f t="shared" si="114"/>
        <v>44986</v>
      </c>
      <c r="CB92" s="127">
        <f t="shared" ca="1" si="115"/>
        <v>123.21567307421599</v>
      </c>
      <c r="CC92" s="15">
        <f t="shared" ca="1" si="116"/>
        <v>4.8139362595195783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115.53447022846987</v>
      </c>
      <c r="CH92" s="127">
        <f t="shared" ca="1" si="120"/>
        <v>4.8334835734050499</v>
      </c>
      <c r="CI92" s="127">
        <f t="shared" ca="1" si="134"/>
        <v>125.64790284555254</v>
      </c>
      <c r="DQ92" s="121">
        <f t="shared" si="121"/>
        <v>44986</v>
      </c>
      <c r="DR92" s="98">
        <f t="shared" si="122"/>
        <v>1</v>
      </c>
      <c r="DS92" s="73">
        <f t="shared" si="123"/>
        <v>133.5639877149807</v>
      </c>
      <c r="DT92" s="295">
        <f t="shared" ca="1" si="127"/>
        <v>125.62174602556291</v>
      </c>
      <c r="DU92" s="295">
        <f t="shared" ca="1" si="128"/>
        <v>7.9422416894177843</v>
      </c>
      <c r="DX92" s="121">
        <f t="shared" si="124"/>
        <v>44986</v>
      </c>
      <c r="DY92" s="98">
        <f t="shared" si="136"/>
        <v>1</v>
      </c>
      <c r="DZ92" s="281">
        <f t="shared" si="137"/>
        <v>133.5639877149807</v>
      </c>
      <c r="EA92" s="127">
        <f t="shared" ca="1" si="138"/>
        <v>125.53002020514427</v>
      </c>
      <c r="EC92" s="121">
        <f t="shared" si="125"/>
        <v>44986</v>
      </c>
      <c r="ED92" s="98">
        <f t="shared" si="140"/>
        <v>1</v>
      </c>
      <c r="EE92" s="281">
        <f t="shared" si="141"/>
        <v>133.5639877149807</v>
      </c>
      <c r="EF92" s="127">
        <f t="shared" ca="1" si="142"/>
        <v>125.66512991984779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118.6059679653001</v>
      </c>
      <c r="Z93" s="15">
        <f t="shared" ca="1" si="84"/>
        <v>4.7758068054097533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119.39517013524383</v>
      </c>
      <c r="AE93" s="127">
        <f t="shared" ca="1" si="88"/>
        <v>4.8351110080768516</v>
      </c>
      <c r="AF93" s="127">
        <f t="shared" ca="1" si="129"/>
        <v>125.85255308135848</v>
      </c>
      <c r="AH93" s="121">
        <f t="shared" si="89"/>
        <v>45017</v>
      </c>
      <c r="AI93" s="73">
        <f t="shared" ca="1" si="81"/>
        <v>125.50239835384048</v>
      </c>
      <c r="AJ93" s="15">
        <f t="shared" ca="1" si="90"/>
        <v>4.8323248687784046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120.80812171946012</v>
      </c>
      <c r="AO93" s="127">
        <f t="shared" ca="1" si="94"/>
        <v>4.8402233073921117</v>
      </c>
      <c r="AP93" s="127">
        <f t="shared" ca="1" si="130"/>
        <v>126.49759642473887</v>
      </c>
      <c r="AR93" s="121">
        <f t="shared" si="95"/>
        <v>45017</v>
      </c>
      <c r="AS93" s="73">
        <f t="shared" ca="1" si="135"/>
        <v>125.50239835384048</v>
      </c>
      <c r="AT93" s="15">
        <f t="shared" ca="1" si="96"/>
        <v>4.8323248687784046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120.80812171946012</v>
      </c>
      <c r="AY93" s="127">
        <f t="shared" ca="1" si="100"/>
        <v>4.8399189688065611</v>
      </c>
      <c r="AZ93" s="127">
        <f t="shared" ca="1" si="131"/>
        <v>126.45910418280175</v>
      </c>
      <c r="BB93" s="121">
        <f t="shared" si="101"/>
        <v>45017</v>
      </c>
      <c r="BC93" s="73">
        <f t="shared" ca="1" si="139"/>
        <v>125.50239835384048</v>
      </c>
      <c r="BD93" s="15">
        <f t="shared" ca="1" si="102"/>
        <v>4.8323248687784046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120.80812171946012</v>
      </c>
      <c r="BI93" s="127">
        <f t="shared" ca="1" si="106"/>
        <v>4.8406077397918859</v>
      </c>
      <c r="BJ93" s="127">
        <f t="shared" ca="1" si="132"/>
        <v>126.5462355479265</v>
      </c>
      <c r="BL93" s="121">
        <f t="shared" si="107"/>
        <v>45017</v>
      </c>
      <c r="BM93" s="73">
        <f t="shared" ca="1" si="143"/>
        <v>125.50239835384048</v>
      </c>
      <c r="BN93" s="15">
        <f t="shared" ca="1" si="108"/>
        <v>4.8323248687784046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120.80812171946012</v>
      </c>
      <c r="BS93" s="127">
        <f t="shared" ca="1" si="112"/>
        <v>4.8275302497617769</v>
      </c>
      <c r="BT93" s="127">
        <f t="shared" ca="1" si="133"/>
        <v>124.90210241321212</v>
      </c>
      <c r="BZ93" s="583">
        <f t="shared" si="113"/>
        <v>1</v>
      </c>
      <c r="CA93" s="121">
        <f t="shared" si="114"/>
        <v>45017</v>
      </c>
      <c r="CB93" s="127">
        <f t="shared" ca="1" si="115"/>
        <v>125.50239835384048</v>
      </c>
      <c r="CC93" s="15">
        <f t="shared" ca="1" si="116"/>
        <v>4.8323248687784046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120.80812171946012</v>
      </c>
      <c r="CH93" s="127">
        <f t="shared" ca="1" si="120"/>
        <v>4.8406801076472705</v>
      </c>
      <c r="CI93" s="127">
        <f t="shared" ca="1" si="134"/>
        <v>126.55539375897615</v>
      </c>
      <c r="DQ93" s="121">
        <f t="shared" si="121"/>
        <v>45017</v>
      </c>
      <c r="DR93" s="98">
        <f t="shared" ca="1" si="122"/>
        <v>1</v>
      </c>
      <c r="DS93" s="73">
        <f t="shared" ca="1" si="123"/>
        <v>118.6059679653001</v>
      </c>
      <c r="DT93" s="295">
        <f t="shared" ca="1" si="127"/>
        <v>126.49759642473887</v>
      </c>
      <c r="DU93" s="295">
        <f t="shared" ca="1" si="128"/>
        <v>-7.8916284594387776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118.6059679653001</v>
      </c>
      <c r="EA93" s="127">
        <f t="shared" ca="1" si="138"/>
        <v>126.45910418280175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118.6059679653001</v>
      </c>
      <c r="EF93" s="127">
        <f t="shared" ca="1" si="142"/>
        <v>126.5462355479265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118.6059679653001</v>
      </c>
      <c r="EK93" s="127">
        <f t="shared" ref="EK93:EK104" ca="1" si="146">+BT93</f>
        <v>124.90210241321212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124.33723938124062</v>
      </c>
      <c r="Z94" s="15">
        <f t="shared" ca="1" si="84"/>
        <v>4.8229975464171471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125.39793620684583</v>
      </c>
      <c r="AE94" s="127">
        <f t="shared" ca="1" si="88"/>
        <v>4.8420158133983167</v>
      </c>
      <c r="AF94" s="127">
        <f t="shared" ca="1" si="129"/>
        <v>126.72454747088976</v>
      </c>
      <c r="AH94" s="121">
        <f t="shared" si="89"/>
        <v>45047</v>
      </c>
      <c r="AI94" s="73">
        <f t="shared" ca="1" si="81"/>
        <v>123.15760068061847</v>
      </c>
      <c r="AJ94" s="15">
        <f t="shared" ca="1" si="90"/>
        <v>4.8134648415464527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125.15008588020777</v>
      </c>
      <c r="AO94" s="127">
        <f t="shared" ca="1" si="94"/>
        <v>4.8471712385904304</v>
      </c>
      <c r="AP94" s="127">
        <f t="shared" ca="1" si="130"/>
        <v>127.37955336156473</v>
      </c>
      <c r="AR94" s="121">
        <f t="shared" si="95"/>
        <v>45047</v>
      </c>
      <c r="AS94" s="73">
        <f t="shared" ca="1" si="135"/>
        <v>123.15760068061847</v>
      </c>
      <c r="AT94" s="15">
        <f t="shared" ca="1" si="96"/>
        <v>4.8134648415464527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125.15008588020777</v>
      </c>
      <c r="AY94" s="127">
        <f t="shared" ca="1" si="100"/>
        <v>4.8472930028243288</v>
      </c>
      <c r="AZ94" s="127">
        <f t="shared" ca="1" si="131"/>
        <v>127.39506457963076</v>
      </c>
      <c r="BB94" s="121">
        <f t="shared" si="101"/>
        <v>45047</v>
      </c>
      <c r="BC94" s="73">
        <f t="shared" ca="1" si="139"/>
        <v>123.15760068061847</v>
      </c>
      <c r="BD94" s="15">
        <f t="shared" ca="1" si="102"/>
        <v>4.8134648415464527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125.15008588020777</v>
      </c>
      <c r="BI94" s="127">
        <f t="shared" ca="1" si="106"/>
        <v>4.8475948096331702</v>
      </c>
      <c r="BJ94" s="127">
        <f t="shared" ca="1" si="132"/>
        <v>127.43351908015683</v>
      </c>
      <c r="BL94" s="121">
        <f t="shared" si="107"/>
        <v>45047</v>
      </c>
      <c r="BM94" s="73">
        <f t="shared" ca="1" si="143"/>
        <v>123.15760068061847</v>
      </c>
      <c r="BN94" s="15">
        <f t="shared" ca="1" si="108"/>
        <v>4.8134648415464527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125.15008588020777</v>
      </c>
      <c r="BS94" s="127">
        <f t="shared" ca="1" si="112"/>
        <v>4.8378889342316107</v>
      </c>
      <c r="BT94" s="127">
        <f t="shared" ca="1" si="133"/>
        <v>126.20264822429688</v>
      </c>
      <c r="BZ94" s="583">
        <f t="shared" si="113"/>
        <v>1</v>
      </c>
      <c r="CA94" s="121">
        <f t="shared" si="114"/>
        <v>45047</v>
      </c>
      <c r="CB94" s="127">
        <f t="shared" ca="1" si="115"/>
        <v>123.15760068061847</v>
      </c>
      <c r="CC94" s="15">
        <f t="shared" ca="1" si="116"/>
        <v>4.8134648415464527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125.15008588020777</v>
      </c>
      <c r="CH94" s="127">
        <f t="shared" ca="1" si="120"/>
        <v>4.8478766418894912</v>
      </c>
      <c r="CI94" s="127">
        <f t="shared" ca="1" si="134"/>
        <v>127.46943901783089</v>
      </c>
      <c r="DQ94" s="121">
        <f t="shared" si="121"/>
        <v>45047</v>
      </c>
      <c r="DR94" s="98">
        <f t="shared" ca="1" si="122"/>
        <v>1</v>
      </c>
      <c r="DS94" s="73">
        <f t="shared" ca="1" si="123"/>
        <v>124.33723938124062</v>
      </c>
      <c r="DT94" s="295">
        <f t="shared" ca="1" si="127"/>
        <v>127.37955336156473</v>
      </c>
      <c r="DU94" s="295">
        <f t="shared" ca="1" si="128"/>
        <v>-3.0423139803241099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124.33723938124062</v>
      </c>
      <c r="EA94" s="127">
        <f t="shared" ca="1" si="138"/>
        <v>127.39506457963076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124.33723938124062</v>
      </c>
      <c r="EF94" s="127">
        <f t="shared" ca="1" si="142"/>
        <v>127.43351908015683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124.33723938124062</v>
      </c>
      <c r="EK94" s="127">
        <f t="shared" ca="1" si="146"/>
        <v>126.20264822429688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126.52959469531471</v>
      </c>
      <c r="Z95" s="15">
        <f t="shared" ca="1" si="84"/>
        <v>4.840476230966094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130.69285823608453</v>
      </c>
      <c r="AE95" s="127">
        <f t="shared" ca="1" si="88"/>
        <v>4.8489206187197809</v>
      </c>
      <c r="AF95" s="127">
        <f t="shared" ca="1" si="129"/>
        <v>127.60258364659656</v>
      </c>
      <c r="AH95" s="121">
        <f t="shared" si="89"/>
        <v>45078</v>
      </c>
      <c r="AI95" s="73">
        <f t="shared" ca="1" si="81"/>
        <v>124.63249091512523</v>
      </c>
      <c r="AJ95" s="15">
        <f t="shared" ca="1" si="90"/>
        <v>4.8253693341195438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130.28497202122767</v>
      </c>
      <c r="AO95" s="127">
        <f t="shared" ca="1" si="94"/>
        <v>4.8541191697887482</v>
      </c>
      <c r="AP95" s="127">
        <f t="shared" ca="1" si="130"/>
        <v>128.26765941157839</v>
      </c>
      <c r="AR95" s="121">
        <f t="shared" si="95"/>
        <v>45078</v>
      </c>
      <c r="AS95" s="73">
        <f t="shared" ca="1" si="135"/>
        <v>124.63249091512523</v>
      </c>
      <c r="AT95" s="15">
        <f t="shared" ca="1" si="96"/>
        <v>4.8253693341195438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130.28497202122767</v>
      </c>
      <c r="AY95" s="127">
        <f t="shared" ca="1" si="100"/>
        <v>4.8546670368420966</v>
      </c>
      <c r="AZ95" s="127">
        <f t="shared" ca="1" si="131"/>
        <v>128.33795228999793</v>
      </c>
      <c r="BB95" s="121">
        <f t="shared" si="101"/>
        <v>45078</v>
      </c>
      <c r="BC95" s="73">
        <f t="shared" ca="1" si="139"/>
        <v>124.63249091512523</v>
      </c>
      <c r="BD95" s="15">
        <f t="shared" ca="1" si="102"/>
        <v>4.8253693341195438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130.28497202122767</v>
      </c>
      <c r="BI95" s="127">
        <f t="shared" ca="1" si="106"/>
        <v>4.8545818794744537</v>
      </c>
      <c r="BJ95" s="127">
        <f t="shared" ca="1" si="132"/>
        <v>128.32702383313818</v>
      </c>
      <c r="BL95" s="121">
        <f t="shared" si="107"/>
        <v>45078</v>
      </c>
      <c r="BM95" s="73">
        <f t="shared" ca="1" si="143"/>
        <v>124.63249091512523</v>
      </c>
      <c r="BN95" s="15">
        <f t="shared" ca="1" si="108"/>
        <v>4.8253693341195438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130.28497202122767</v>
      </c>
      <c r="BS95" s="127">
        <f t="shared" ca="1" si="112"/>
        <v>4.8482476187014454</v>
      </c>
      <c r="BT95" s="127">
        <f t="shared" ca="1" si="133"/>
        <v>127.51673599643806</v>
      </c>
      <c r="BZ95" s="583">
        <f t="shared" si="113"/>
        <v>1</v>
      </c>
      <c r="CA95" s="121">
        <f t="shared" si="114"/>
        <v>45078</v>
      </c>
      <c r="CB95" s="127">
        <f t="shared" ca="1" si="115"/>
        <v>124.63249091512523</v>
      </c>
      <c r="CC95" s="15">
        <f t="shared" ca="1" si="116"/>
        <v>4.8253693341195438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130.28497202122767</v>
      </c>
      <c r="CH95" s="127">
        <f t="shared" ca="1" si="120"/>
        <v>4.8550731761317119</v>
      </c>
      <c r="CI95" s="127">
        <f t="shared" ca="1" si="134"/>
        <v>128.3900859608211</v>
      </c>
      <c r="DQ95" s="121">
        <f t="shared" si="121"/>
        <v>45078</v>
      </c>
      <c r="DR95" s="98">
        <f t="shared" ca="1" si="122"/>
        <v>1</v>
      </c>
      <c r="DS95" s="73">
        <f t="shared" ca="1" si="123"/>
        <v>126.52959469531471</v>
      </c>
      <c r="DT95" s="295">
        <f t="shared" ca="1" si="127"/>
        <v>128.26765941157839</v>
      </c>
      <c r="DU95" s="295">
        <f t="shared" ca="1" si="128"/>
        <v>-1.7380647162636791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126.52959469531471</v>
      </c>
      <c r="EA95" s="127">
        <f t="shared" ca="1" si="138"/>
        <v>128.33795228999793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126.52959469531471</v>
      </c>
      <c r="EF95" s="127">
        <f t="shared" ca="1" si="142"/>
        <v>128.32702383313818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126.52959469531471</v>
      </c>
      <c r="EK95" s="127">
        <f t="shared" ca="1" si="146"/>
        <v>127.51673599643806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123.03063866882034</v>
      </c>
      <c r="Z96" s="15">
        <f t="shared" ca="1" si="84"/>
        <v>4.8124334192219003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134.74813573821319</v>
      </c>
      <c r="AE96" s="127">
        <f t="shared" ca="1" si="88"/>
        <v>4.8558254240412451</v>
      </c>
      <c r="AF96" s="127">
        <f t="shared" ca="1" si="129"/>
        <v>128.4867034701935</v>
      </c>
      <c r="AH96" s="121">
        <f t="shared" si="89"/>
        <v>45108</v>
      </c>
      <c r="AI96" s="73">
        <f t="shared" ca="1" si="81"/>
        <v>127.85148797899774</v>
      </c>
      <c r="AJ96" s="15">
        <f t="shared" ca="1" si="90"/>
        <v>4.8508693401442269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135.82434152403835</v>
      </c>
      <c r="AO96" s="127">
        <f t="shared" ca="1" si="94"/>
        <v>4.8610671009870661</v>
      </c>
      <c r="AP96" s="127">
        <f t="shared" ca="1" si="130"/>
        <v>129.16195744716006</v>
      </c>
      <c r="AR96" s="121">
        <f t="shared" si="95"/>
        <v>45108</v>
      </c>
      <c r="AS96" s="73">
        <f t="shared" ca="1" si="135"/>
        <v>127.85148797899774</v>
      </c>
      <c r="AT96" s="15">
        <f t="shared" ca="1" si="96"/>
        <v>4.8508693401442269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135.82434152403835</v>
      </c>
      <c r="AY96" s="127">
        <f t="shared" ca="1" si="100"/>
        <v>4.8620410708598651</v>
      </c>
      <c r="AZ96" s="127">
        <f t="shared" ca="1" si="131"/>
        <v>129.28781858495401</v>
      </c>
      <c r="BB96" s="121">
        <f t="shared" si="101"/>
        <v>45108</v>
      </c>
      <c r="BC96" s="73">
        <f t="shared" ca="1" si="139"/>
        <v>127.85148797899774</v>
      </c>
      <c r="BD96" s="15">
        <f t="shared" ca="1" si="102"/>
        <v>4.8508693401442269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135.82434152403835</v>
      </c>
      <c r="BI96" s="127">
        <f t="shared" ca="1" si="106"/>
        <v>4.8615689493157381</v>
      </c>
      <c r="BJ96" s="127">
        <f t="shared" ca="1" si="132"/>
        <v>129.22679342718627</v>
      </c>
      <c r="BL96" s="121">
        <f t="shared" si="107"/>
        <v>45108</v>
      </c>
      <c r="BM96" s="73">
        <f t="shared" ca="1" si="143"/>
        <v>127.85148797899774</v>
      </c>
      <c r="BN96" s="15">
        <f t="shared" ca="1" si="108"/>
        <v>4.8508693401442269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135.82434152403835</v>
      </c>
      <c r="BS96" s="127">
        <f t="shared" ca="1" si="112"/>
        <v>4.8586063031712792</v>
      </c>
      <c r="BT96" s="127">
        <f t="shared" ca="1" si="133"/>
        <v>128.84450673559436</v>
      </c>
      <c r="BZ96" s="583">
        <f t="shared" si="113"/>
        <v>1</v>
      </c>
      <c r="CA96" s="121">
        <f t="shared" si="114"/>
        <v>45108</v>
      </c>
      <c r="CB96" s="127">
        <f t="shared" ca="1" si="115"/>
        <v>127.85148797899774</v>
      </c>
      <c r="CC96" s="15">
        <f t="shared" ca="1" si="116"/>
        <v>4.8508693401442269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135.82434152403835</v>
      </c>
      <c r="CH96" s="127">
        <f t="shared" ca="1" si="120"/>
        <v>4.8622697103739325</v>
      </c>
      <c r="CI96" s="127">
        <f t="shared" ca="1" si="134"/>
        <v>129.31738226855444</v>
      </c>
      <c r="DQ96" s="121">
        <f t="shared" si="121"/>
        <v>45108</v>
      </c>
      <c r="DR96" s="98">
        <f t="shared" ca="1" si="122"/>
        <v>1</v>
      </c>
      <c r="DS96" s="73">
        <f t="shared" ca="1" si="123"/>
        <v>123.03063866882034</v>
      </c>
      <c r="DT96" s="295">
        <f t="shared" ca="1" si="127"/>
        <v>129.16195744716006</v>
      </c>
      <c r="DU96" s="295">
        <f t="shared" ca="1" si="128"/>
        <v>-6.1313187783397183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123.03063866882034</v>
      </c>
      <c r="EA96" s="127">
        <f t="shared" ca="1" si="138"/>
        <v>129.28781858495401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123.03063866882034</v>
      </c>
      <c r="EF96" s="127">
        <f t="shared" ca="1" si="142"/>
        <v>129.22679342718627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123.03063866882034</v>
      </c>
      <c r="EK96" s="127">
        <f t="shared" ca="1" si="146"/>
        <v>128.84450673559436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133.99423057285816</v>
      </c>
      <c r="Z97" s="15">
        <f t="shared" ca="1" si="84"/>
        <v>4.897796743597568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142.03610556432946</v>
      </c>
      <c r="AE97" s="127">
        <f t="shared" ca="1" si="88"/>
        <v>4.8627302293627093</v>
      </c>
      <c r="AF97" s="127">
        <f t="shared" ca="1" si="129"/>
        <v>129.37694909344228</v>
      </c>
      <c r="AH97" s="121">
        <f t="shared" si="89"/>
        <v>45139</v>
      </c>
      <c r="AI97" s="73">
        <f t="shared" ca="1" si="81"/>
        <v>128.77473881459727</v>
      </c>
      <c r="AJ97" s="15">
        <f t="shared" ca="1" si="90"/>
        <v>4.8580646672189358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140.88387534934913</v>
      </c>
      <c r="AO97" s="127">
        <f t="shared" ca="1" si="94"/>
        <v>4.8680150321853848</v>
      </c>
      <c r="AP97" s="127">
        <f t="shared" ca="1" si="130"/>
        <v>130.06249063960141</v>
      </c>
      <c r="AR97" s="121">
        <f t="shared" si="95"/>
        <v>45139</v>
      </c>
      <c r="AS97" s="73">
        <f t="shared" ca="1" si="135"/>
        <v>128.77473881459727</v>
      </c>
      <c r="AT97" s="15">
        <f t="shared" ca="1" si="96"/>
        <v>4.8580646672189358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140.88387534934913</v>
      </c>
      <c r="AY97" s="127">
        <f t="shared" ca="1" si="100"/>
        <v>4.8694151048776328</v>
      </c>
      <c r="AZ97" s="127">
        <f t="shared" ca="1" si="131"/>
        <v>130.24471511502122</v>
      </c>
      <c r="BB97" s="121">
        <f t="shared" si="101"/>
        <v>45139</v>
      </c>
      <c r="BC97" s="73">
        <f t="shared" ca="1" si="139"/>
        <v>128.77473881459727</v>
      </c>
      <c r="BD97" s="15">
        <f t="shared" ca="1" si="102"/>
        <v>4.8580646672189358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140.88387534934913</v>
      </c>
      <c r="BI97" s="127">
        <f t="shared" ca="1" si="106"/>
        <v>4.8685560191570216</v>
      </c>
      <c r="BJ97" s="127">
        <f t="shared" ca="1" si="132"/>
        <v>130.13287178846184</v>
      </c>
      <c r="BL97" s="121">
        <f t="shared" si="107"/>
        <v>45139</v>
      </c>
      <c r="BM97" s="73">
        <f t="shared" ca="1" si="143"/>
        <v>128.77473881459727</v>
      </c>
      <c r="BN97" s="15">
        <f t="shared" ca="1" si="108"/>
        <v>4.8580646672189358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140.88387534934913</v>
      </c>
      <c r="BS97" s="127">
        <f t="shared" ca="1" si="112"/>
        <v>4.8689649876411139</v>
      </c>
      <c r="BT97" s="127">
        <f t="shared" ca="1" si="133"/>
        <v>130.18610291595257</v>
      </c>
      <c r="BZ97" s="583">
        <f t="shared" si="113"/>
        <v>1</v>
      </c>
      <c r="CA97" s="121">
        <f t="shared" si="114"/>
        <v>45139</v>
      </c>
      <c r="CB97" s="127">
        <f t="shared" ca="1" si="115"/>
        <v>128.77473881459727</v>
      </c>
      <c r="CC97" s="15">
        <f t="shared" ca="1" si="116"/>
        <v>4.8580646672189358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140.88387534934913</v>
      </c>
      <c r="CH97" s="127">
        <f t="shared" ca="1" si="120"/>
        <v>4.8694662446161532</v>
      </c>
      <c r="CI97" s="127">
        <f t="shared" ca="1" si="134"/>
        <v>130.25137596601149</v>
      </c>
      <c r="DQ97" s="121">
        <f t="shared" si="121"/>
        <v>45139</v>
      </c>
      <c r="DR97" s="98">
        <f t="shared" ca="1" si="122"/>
        <v>1</v>
      </c>
      <c r="DS97" s="73">
        <f t="shared" ca="1" si="123"/>
        <v>133.99423057285816</v>
      </c>
      <c r="DT97" s="295">
        <f t="shared" ca="1" si="127"/>
        <v>130.06249063960141</v>
      </c>
      <c r="DU97" s="295">
        <f t="shared" ca="1" si="128"/>
        <v>3.9317399332567504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133.99423057285816</v>
      </c>
      <c r="EA97" s="127">
        <f t="shared" ca="1" si="138"/>
        <v>130.24471511502122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133.99423057285816</v>
      </c>
      <c r="EF97" s="127">
        <f t="shared" ca="1" si="142"/>
        <v>130.13287178846184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133.99423057285816</v>
      </c>
      <c r="EK97" s="127">
        <f t="shared" ca="1" si="146"/>
        <v>130.18610291595257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129.29934720211332</v>
      </c>
      <c r="Z98" s="15">
        <f t="shared" ca="1" si="84"/>
        <v>4.8621302370575137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145.86390711172541</v>
      </c>
      <c r="AE98" s="127">
        <f t="shared" ca="1" si="88"/>
        <v>4.8696350346841744</v>
      </c>
      <c r="AF98" s="127">
        <f t="shared" ca="1" si="129"/>
        <v>130.27336296016156</v>
      </c>
      <c r="AH98" s="121">
        <f t="shared" si="89"/>
        <v>45170</v>
      </c>
      <c r="AI98" s="73">
        <f t="shared" ca="1" si="81"/>
        <v>137.47054643107666</v>
      </c>
      <c r="AJ98" s="15">
        <f t="shared" ca="1" si="90"/>
        <v>4.9234096863868757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147.70229059160627</v>
      </c>
      <c r="AO98" s="127">
        <f t="shared" ca="1" si="94"/>
        <v>4.8749629633837026</v>
      </c>
      <c r="AP98" s="127">
        <f t="shared" ca="1" si="130"/>
        <v>130.9693024611895</v>
      </c>
      <c r="AR98" s="121">
        <f t="shared" si="95"/>
        <v>45170</v>
      </c>
      <c r="AS98" s="73">
        <f t="shared" ca="1" si="135"/>
        <v>137.47054643107666</v>
      </c>
      <c r="AT98" s="15">
        <f t="shared" ca="1" si="96"/>
        <v>4.9234096863868757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147.70229059160627</v>
      </c>
      <c r="AY98" s="127">
        <f t="shared" ca="1" si="100"/>
        <v>4.8767891388954006</v>
      </c>
      <c r="AZ98" s="127">
        <f t="shared" ca="1" si="131"/>
        <v>131.20869391300258</v>
      </c>
      <c r="BB98" s="121">
        <f t="shared" si="101"/>
        <v>45170</v>
      </c>
      <c r="BC98" s="73">
        <f t="shared" ca="1" si="139"/>
        <v>137.47054643107666</v>
      </c>
      <c r="BD98" s="15">
        <f t="shared" ca="1" si="102"/>
        <v>4.9234096863868757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147.70229059160627</v>
      </c>
      <c r="BI98" s="127">
        <f t="shared" ca="1" si="106"/>
        <v>4.875543088998306</v>
      </c>
      <c r="BJ98" s="127">
        <f t="shared" ca="1" si="132"/>
        <v>131.04530315111597</v>
      </c>
      <c r="BL98" s="121">
        <f t="shared" si="107"/>
        <v>45170</v>
      </c>
      <c r="BM98" s="73">
        <f t="shared" ca="1" si="143"/>
        <v>137.47054643107666</v>
      </c>
      <c r="BN98" s="15">
        <f t="shared" ca="1" si="108"/>
        <v>4.9234096863868757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147.70229059160627</v>
      </c>
      <c r="BS98" s="127">
        <f t="shared" ca="1" si="112"/>
        <v>4.8793236721109476</v>
      </c>
      <c r="BT98" s="127">
        <f t="shared" ca="1" si="133"/>
        <v>131.54166849521445</v>
      </c>
      <c r="BZ98" s="583">
        <f t="shared" si="113"/>
        <v>1</v>
      </c>
      <c r="CA98" s="121">
        <f t="shared" si="114"/>
        <v>45170</v>
      </c>
      <c r="CB98" s="127">
        <f t="shared" ca="1" si="115"/>
        <v>137.47054643107666</v>
      </c>
      <c r="CC98" s="15">
        <f t="shared" ca="1" si="116"/>
        <v>4.9234096863868757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147.70229059160627</v>
      </c>
      <c r="CH98" s="127">
        <f t="shared" ca="1" si="120"/>
        <v>4.8766627788583738</v>
      </c>
      <c r="CI98" s="127">
        <f t="shared" ca="1" si="134"/>
        <v>131.19211542503274</v>
      </c>
      <c r="DQ98" s="121">
        <f t="shared" si="121"/>
        <v>45170</v>
      </c>
      <c r="DR98" s="98">
        <f t="shared" ca="1" si="122"/>
        <v>1</v>
      </c>
      <c r="DS98" s="73">
        <f t="shared" ca="1" si="123"/>
        <v>129.29934720211332</v>
      </c>
      <c r="DT98" s="295">
        <f t="shared" ca="1" si="127"/>
        <v>130.9693024611895</v>
      </c>
      <c r="DU98" s="295">
        <f t="shared" ca="1" si="128"/>
        <v>-1.6699552590761755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129.29934720211332</v>
      </c>
      <c r="EA98" s="127">
        <f t="shared" ca="1" si="138"/>
        <v>131.20869391300258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129.29934720211332</v>
      </c>
      <c r="EF98" s="127">
        <f t="shared" ca="1" si="142"/>
        <v>131.04530315111597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129.29934720211332</v>
      </c>
      <c r="EK98" s="127">
        <f t="shared" ca="1" si="146"/>
        <v>131.54166849521445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149.11806151825849</v>
      </c>
      <c r="Z99" s="15">
        <f t="shared" ca="1" si="84"/>
        <v>5.0047383513775889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155.14688889270525</v>
      </c>
      <c r="AE99" s="127">
        <f t="shared" ca="1" si="88"/>
        <v>4.8765398400056386</v>
      </c>
      <c r="AF99" s="127">
        <f t="shared" ca="1" si="129"/>
        <v>131.17598780825011</v>
      </c>
      <c r="AH99" s="121">
        <f t="shared" si="89"/>
        <v>45200</v>
      </c>
      <c r="AI99" s="73">
        <f t="shared" ca="1" si="81"/>
        <v>140.65735093536958</v>
      </c>
      <c r="AJ99" s="15">
        <f t="shared" ca="1" si="90"/>
        <v>4.9463267975969503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153.33613072550546</v>
      </c>
      <c r="AO99" s="127">
        <f t="shared" ca="1" si="94"/>
        <v>4.8819108945820213</v>
      </c>
      <c r="AP99" s="127">
        <f t="shared" ca="1" si="130"/>
        <v>131.8824366873059</v>
      </c>
      <c r="AR99" s="121">
        <f t="shared" si="95"/>
        <v>45200</v>
      </c>
      <c r="AS99" s="73">
        <f t="shared" ca="1" si="135"/>
        <v>140.65735093536958</v>
      </c>
      <c r="AT99" s="15">
        <f t="shared" ca="1" si="96"/>
        <v>4.9463267975969503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153.33613072550546</v>
      </c>
      <c r="AY99" s="127">
        <f t="shared" ca="1" si="100"/>
        <v>4.8841631729131683</v>
      </c>
      <c r="AZ99" s="127">
        <f t="shared" ca="1" si="131"/>
        <v>132.17980739681079</v>
      </c>
      <c r="BB99" s="121">
        <f t="shared" si="101"/>
        <v>45200</v>
      </c>
      <c r="BC99" s="73">
        <f t="shared" ca="1" si="139"/>
        <v>140.65735093536958</v>
      </c>
      <c r="BD99" s="15">
        <f t="shared" ca="1" si="102"/>
        <v>4.9463267975969503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153.33613072550546</v>
      </c>
      <c r="BI99" s="127">
        <f t="shared" ca="1" si="106"/>
        <v>4.8825301588395895</v>
      </c>
      <c r="BJ99" s="127">
        <f t="shared" ca="1" si="132"/>
        <v>131.96413205944859</v>
      </c>
      <c r="BL99" s="121">
        <f t="shared" si="107"/>
        <v>45200</v>
      </c>
      <c r="BM99" s="73">
        <f t="shared" ca="1" si="143"/>
        <v>140.65735093536958</v>
      </c>
      <c r="BN99" s="15">
        <f t="shared" ca="1" si="108"/>
        <v>4.9463267975969503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153.33613072550546</v>
      </c>
      <c r="BS99" s="127">
        <f t="shared" ca="1" si="112"/>
        <v>4.8896823565807823</v>
      </c>
      <c r="BT99" s="127">
        <f t="shared" ca="1" si="133"/>
        <v>132.91134893004491</v>
      </c>
      <c r="BZ99" s="583">
        <f t="shared" si="113"/>
        <v>1</v>
      </c>
      <c r="CA99" s="121">
        <f t="shared" si="114"/>
        <v>45200</v>
      </c>
      <c r="CB99" s="127">
        <f t="shared" ca="1" si="115"/>
        <v>140.65735093536958</v>
      </c>
      <c r="CC99" s="15">
        <f t="shared" ca="1" si="116"/>
        <v>4.9463267975969503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153.33613072550546</v>
      </c>
      <c r="CH99" s="127">
        <f t="shared" ca="1" si="120"/>
        <v>4.8838593131005945</v>
      </c>
      <c r="CI99" s="127">
        <f t="shared" ca="1" si="134"/>
        <v>132.13964936682387</v>
      </c>
      <c r="DQ99" s="121">
        <f t="shared" si="121"/>
        <v>45200</v>
      </c>
      <c r="DR99" s="98">
        <f t="shared" ca="1" si="122"/>
        <v>1</v>
      </c>
      <c r="DS99" s="73">
        <f t="shared" ca="1" si="123"/>
        <v>149.11806151825849</v>
      </c>
      <c r="DT99" s="295">
        <f t="shared" ca="1" si="127"/>
        <v>131.8824366873059</v>
      </c>
      <c r="DU99" s="295">
        <f t="shared" ca="1" si="128"/>
        <v>17.235624830952588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149.11806151825849</v>
      </c>
      <c r="EA99" s="127">
        <f t="shared" ca="1" si="138"/>
        <v>132.17980739681079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149.11806151825849</v>
      </c>
      <c r="EF99" s="127">
        <f t="shared" ca="1" si="142"/>
        <v>131.96413205944859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149.11806151825849</v>
      </c>
      <c r="EK99" s="127">
        <f t="shared" ca="1" si="146"/>
        <v>132.91134893004491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143.55464408573698</v>
      </c>
      <c r="Z100" s="15">
        <f t="shared" ca="1" si="84"/>
        <v>4.9667157577382088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158.93490424762268</v>
      </c>
      <c r="AE100" s="127">
        <f t="shared" ca="1" si="88"/>
        <v>4.8834446453271028</v>
      </c>
      <c r="AF100" s="127">
        <f t="shared" ca="1" si="129"/>
        <v>132.08486667172505</v>
      </c>
      <c r="AH100" s="121">
        <f t="shared" si="89"/>
        <v>45231</v>
      </c>
      <c r="AI100" s="73">
        <f t="shared" ca="1" si="81"/>
        <v>141.75548215722213</v>
      </c>
      <c r="AJ100" s="15">
        <f t="shared" ca="1" si="90"/>
        <v>4.9541036166905004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158.53131573409601</v>
      </c>
      <c r="AO100" s="127">
        <f t="shared" ca="1" si="94"/>
        <v>4.8888588257803391</v>
      </c>
      <c r="AP100" s="127">
        <f t="shared" ca="1" si="130"/>
        <v>132.80193739853922</v>
      </c>
      <c r="AR100" s="121">
        <f t="shared" si="95"/>
        <v>45231</v>
      </c>
      <c r="AS100" s="73">
        <f t="shared" ca="1" si="135"/>
        <v>141.75548215722213</v>
      </c>
      <c r="AT100" s="15">
        <f t="shared" ca="1" si="96"/>
        <v>4.9541036166905004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158.53131573409601</v>
      </c>
      <c r="AY100" s="127">
        <f t="shared" ca="1" si="100"/>
        <v>4.891537206930936</v>
      </c>
      <c r="AZ100" s="127">
        <f t="shared" ca="1" si="131"/>
        <v>133.15810837231876</v>
      </c>
      <c r="BB100" s="121">
        <f t="shared" si="101"/>
        <v>45231</v>
      </c>
      <c r="BC100" s="73">
        <f t="shared" ca="1" si="139"/>
        <v>141.75548215722213</v>
      </c>
      <c r="BD100" s="15">
        <f t="shared" ca="1" si="102"/>
        <v>4.9541036166905004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158.53131573409601</v>
      </c>
      <c r="BI100" s="127">
        <f t="shared" ca="1" si="106"/>
        <v>4.8895172286808739</v>
      </c>
      <c r="BJ100" s="127">
        <f t="shared" ca="1" si="132"/>
        <v>132.88940337008407</v>
      </c>
      <c r="BL100" s="121">
        <f t="shared" si="107"/>
        <v>45231</v>
      </c>
      <c r="BM100" s="73">
        <f t="shared" ca="1" si="143"/>
        <v>141.75548215722213</v>
      </c>
      <c r="BN100" s="15">
        <f t="shared" ca="1" si="108"/>
        <v>4.9541036166905004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158.53131573409601</v>
      </c>
      <c r="BS100" s="127">
        <f t="shared" ca="1" si="112"/>
        <v>4.900041041050617</v>
      </c>
      <c r="BT100" s="127">
        <f t="shared" ca="1" si="133"/>
        <v>134.29529119167913</v>
      </c>
      <c r="BZ100" s="583">
        <f t="shared" si="113"/>
        <v>0</v>
      </c>
      <c r="CA100" s="121">
        <f t="shared" si="114"/>
        <v>45231</v>
      </c>
      <c r="CB100" s="127">
        <f t="shared" ca="1" si="115"/>
        <v>0</v>
      </c>
      <c r="CC100" s="15">
        <f t="shared" ca="1" si="116"/>
        <v>0</v>
      </c>
      <c r="CD100" s="98">
        <f t="shared" ca="1" si="117"/>
        <v>0</v>
      </c>
      <c r="CE100" s="128">
        <f ca="1">IF(CD100&gt;0,32,0)</f>
        <v>0</v>
      </c>
      <c r="CF100" s="128">
        <f t="shared" ca="1" si="118"/>
        <v>0</v>
      </c>
      <c r="CG100" s="15">
        <f t="shared" ca="1" si="119"/>
        <v>0</v>
      </c>
      <c r="CH100" s="127">
        <f t="shared" ca="1" si="120"/>
        <v>4.8910558473428152</v>
      </c>
      <c r="CI100" s="127">
        <f t="shared" ca="1" si="134"/>
        <v>133.09402686447919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143.55464408573698</v>
      </c>
      <c r="DT100" s="295">
        <f t="shared" ca="1" si="127"/>
        <v>132.80193739853922</v>
      </c>
      <c r="DU100" s="295">
        <f t="shared" ca="1" si="128"/>
        <v>10.752706687197758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143.55464408573698</v>
      </c>
      <c r="EA100" s="127">
        <f t="shared" ca="1" si="138"/>
        <v>133.15810837231876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143.55464408573698</v>
      </c>
      <c r="EF100" s="127">
        <f t="shared" ca="1" si="142"/>
        <v>132.88940337008407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143.55464408573698</v>
      </c>
      <c r="EK100" s="127">
        <f t="shared" ca="1" si="146"/>
        <v>134.29529119167913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132.5937408676709</v>
      </c>
      <c r="Z101" s="15">
        <f t="shared" ca="1" si="84"/>
        <v>4.8872898735280899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161.28056582642697</v>
      </c>
      <c r="AE101" s="127">
        <f t="shared" ca="1" si="88"/>
        <v>4.8903494506485679</v>
      </c>
      <c r="AF101" s="127">
        <f t="shared" ca="1" si="129"/>
        <v>133.00004288277319</v>
      </c>
      <c r="AH101" s="121">
        <f t="shared" si="89"/>
        <v>45261</v>
      </c>
      <c r="AI101" s="73">
        <f t="shared" ca="1" si="81"/>
        <v>134.38598325654885</v>
      </c>
      <c r="AJ101" s="15">
        <f t="shared" ca="1" si="90"/>
        <v>4.9007161314044225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161.72363233634593</v>
      </c>
      <c r="AO101" s="127">
        <f t="shared" ca="1" si="94"/>
        <v>4.8958067569786579</v>
      </c>
      <c r="AP101" s="127">
        <f t="shared" ca="1" si="130"/>
        <v>133.72784898281378</v>
      </c>
      <c r="AR101" s="121">
        <f t="shared" si="95"/>
        <v>45261</v>
      </c>
      <c r="AS101" s="73">
        <f t="shared" ca="1" si="135"/>
        <v>134.38598325654885</v>
      </c>
      <c r="AT101" s="15">
        <f t="shared" ca="1" si="96"/>
        <v>4.9007161314044225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161.72363233634593</v>
      </c>
      <c r="AY101" s="127">
        <f t="shared" ca="1" si="100"/>
        <v>4.8989112409487037</v>
      </c>
      <c r="AZ101" s="127">
        <f t="shared" ca="1" si="131"/>
        <v>134.14365003623089</v>
      </c>
      <c r="BB101" s="121">
        <f t="shared" si="101"/>
        <v>45261</v>
      </c>
      <c r="BC101" s="73">
        <f t="shared" ca="1" si="139"/>
        <v>134.38598325654885</v>
      </c>
      <c r="BD101" s="15">
        <f t="shared" ca="1" si="102"/>
        <v>4.9007161314044225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161.72363233634593</v>
      </c>
      <c r="BI101" s="127">
        <f t="shared" ca="1" si="106"/>
        <v>4.8965042985221574</v>
      </c>
      <c r="BJ101" s="127">
        <f t="shared" ca="1" si="132"/>
        <v>133.82116225416021</v>
      </c>
      <c r="BL101" s="121">
        <f t="shared" si="107"/>
        <v>45261</v>
      </c>
      <c r="BM101" s="73">
        <f t="shared" ca="1" si="143"/>
        <v>134.38598325654885</v>
      </c>
      <c r="BN101" s="15">
        <f t="shared" ca="1" si="108"/>
        <v>4.9007161314044225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161.72363233634593</v>
      </c>
      <c r="BS101" s="127">
        <f t="shared" ca="1" si="112"/>
        <v>4.9103997255204508</v>
      </c>
      <c r="BT101" s="127">
        <f t="shared" ca="1" si="133"/>
        <v>135.69364378169342</v>
      </c>
      <c r="BZ101" s="583">
        <f t="shared" si="113"/>
        <v>0</v>
      </c>
      <c r="CA101" s="121">
        <f t="shared" si="114"/>
        <v>45261</v>
      </c>
      <c r="CB101" s="127">
        <f t="shared" ca="1" si="115"/>
        <v>0</v>
      </c>
      <c r="CC101" s="15">
        <f t="shared" ca="1" si="116"/>
        <v>0</v>
      </c>
      <c r="CD101" s="98">
        <f t="shared" ca="1" si="117"/>
        <v>0</v>
      </c>
      <c r="CE101" s="128">
        <f ca="1">IF(CD101&gt;0,33,0)</f>
        <v>0</v>
      </c>
      <c r="CF101" s="128">
        <f t="shared" ca="1" si="118"/>
        <v>0</v>
      </c>
      <c r="CG101" s="15">
        <f t="shared" ca="1" si="119"/>
        <v>0</v>
      </c>
      <c r="CH101" s="127">
        <f t="shared" ca="1" si="120"/>
        <v>4.8982523815850358</v>
      </c>
      <c r="CI101" s="127">
        <f t="shared" ca="1" si="134"/>
        <v>134.05529734552286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132.5937408676709</v>
      </c>
      <c r="DT101" s="295">
        <f t="shared" ca="1" si="127"/>
        <v>133.72784898281378</v>
      </c>
      <c r="DU101" s="295">
        <f t="shared" ca="1" si="128"/>
        <v>-1.1341081151428796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132.5937408676709</v>
      </c>
      <c r="EA101" s="127">
        <f t="shared" ca="1" si="138"/>
        <v>134.14365003623089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132.5937408676709</v>
      </c>
      <c r="EF101" s="127">
        <f t="shared" ca="1" si="142"/>
        <v>133.82116225416021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132.5937408676709</v>
      </c>
      <c r="EK101" s="127">
        <f t="shared" ca="1" si="146"/>
        <v>135.69364378169342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127.00956481623867</v>
      </c>
      <c r="Z102" s="15">
        <f t="shared" ca="1" si="84"/>
        <v>4.8442623971363616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164.7049215026363</v>
      </c>
      <c r="AE102" s="127">
        <f t="shared" ca="1" si="88"/>
        <v>4.8972542559700321</v>
      </c>
      <c r="AF102" s="127">
        <f t="shared" ca="1" si="129"/>
        <v>133.92156007381666</v>
      </c>
      <c r="AH102" s="121">
        <f t="shared" si="89"/>
        <v>45292</v>
      </c>
      <c r="AI102" s="73">
        <f t="shared" ca="1" si="81"/>
        <v>126.46217610894145</v>
      </c>
      <c r="AJ102" s="15">
        <f t="shared" ca="1" si="90"/>
        <v>4.8399432603658656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164.55807085243944</v>
      </c>
      <c r="AO102" s="127">
        <f t="shared" ca="1" si="94"/>
        <v>4.9027546881769757</v>
      </c>
      <c r="AP102" s="127">
        <f t="shared" ca="1" si="130"/>
        <v>134.66021613753162</v>
      </c>
      <c r="AR102" s="121">
        <f t="shared" si="95"/>
        <v>45292</v>
      </c>
      <c r="AS102" s="73">
        <f t="shared" ca="1" si="135"/>
        <v>126.46217610894145</v>
      </c>
      <c r="AT102" s="15">
        <f t="shared" ca="1" si="96"/>
        <v>4.8399432603658656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164.55807085243944</v>
      </c>
      <c r="AY102" s="127">
        <f t="shared" ca="1" si="100"/>
        <v>4.9062852749664723</v>
      </c>
      <c r="AZ102" s="127">
        <f t="shared" ca="1" si="131"/>
        <v>135.13648597897586</v>
      </c>
      <c r="BB102" s="121">
        <f t="shared" si="101"/>
        <v>45292</v>
      </c>
      <c r="BC102" s="73">
        <f t="shared" ca="1" si="139"/>
        <v>126.46217610894145</v>
      </c>
      <c r="BD102" s="15">
        <f t="shared" ca="1" si="102"/>
        <v>4.8399432603658656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164.55807085243944</v>
      </c>
      <c r="BI102" s="127">
        <f t="shared" ca="1" si="106"/>
        <v>4.9034913683634418</v>
      </c>
      <c r="BJ102" s="127">
        <f t="shared" ca="1" si="132"/>
        <v>134.75945419953439</v>
      </c>
      <c r="BL102" s="121">
        <f t="shared" si="107"/>
        <v>45292</v>
      </c>
      <c r="BM102" s="73">
        <f t="shared" ca="1" si="143"/>
        <v>126.46217610894145</v>
      </c>
      <c r="BN102" s="15">
        <f t="shared" ca="1" si="108"/>
        <v>4.8399432603658656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164.55807085243944</v>
      </c>
      <c r="BS102" s="127">
        <f t="shared" ca="1" si="112"/>
        <v>4.9207584099902855</v>
      </c>
      <c r="BT102" s="127">
        <f t="shared" ca="1" si="133"/>
        <v>137.10655674794032</v>
      </c>
      <c r="BZ102" s="583">
        <f t="shared" si="113"/>
        <v>0</v>
      </c>
      <c r="CA102" s="121">
        <f t="shared" si="114"/>
        <v>45292</v>
      </c>
      <c r="CB102" s="127">
        <f t="shared" ca="1" si="115"/>
        <v>0</v>
      </c>
      <c r="CC102" s="15">
        <f t="shared" ca="1" si="116"/>
        <v>0</v>
      </c>
      <c r="CD102" s="98">
        <f t="shared" ca="1" si="117"/>
        <v>0</v>
      </c>
      <c r="CE102" s="128">
        <f ca="1">IF(CD102&gt;0,34,0)</f>
        <v>0</v>
      </c>
      <c r="CF102" s="128">
        <f t="shared" ca="1" si="118"/>
        <v>0</v>
      </c>
      <c r="CG102" s="15">
        <f t="shared" ca="1" si="119"/>
        <v>0</v>
      </c>
      <c r="CH102" s="127">
        <f t="shared" ca="1" si="120"/>
        <v>4.9054489158272574</v>
      </c>
      <c r="CI102" s="127">
        <f t="shared" ca="1" si="134"/>
        <v>135.02351059446912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127.00956481623867</v>
      </c>
      <c r="DT102" s="295">
        <f t="shared" ca="1" si="127"/>
        <v>134.66021613753162</v>
      </c>
      <c r="DU102" s="295">
        <f t="shared" ca="1" si="128"/>
        <v>-7.6506513212929548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127.00956481623867</v>
      </c>
      <c r="EA102" s="127">
        <f t="shared" ca="1" si="138"/>
        <v>135.13648597897586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127.00956481623867</v>
      </c>
      <c r="EF102" s="127">
        <f t="shared" ca="1" si="142"/>
        <v>134.75945419953439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127.00956481623867</v>
      </c>
      <c r="EK102" s="127">
        <f t="shared" ca="1" si="146"/>
        <v>137.10655674794032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119.78322264291478</v>
      </c>
      <c r="Z103" s="15">
        <f t="shared" ca="1" si="84"/>
        <v>4.7856836311572666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167.49892709050434</v>
      </c>
      <c r="AE103" s="127">
        <f t="shared" ca="1" si="88"/>
        <v>4.9041590612914963</v>
      </c>
      <c r="AF103" s="127">
        <f t="shared" ca="1" si="129"/>
        <v>134.84946217959387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4.9097026193752935</v>
      </c>
      <c r="AP103" s="127">
        <f t="shared" ca="1" si="130"/>
        <v>135.59908387173093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4.91365930898424</v>
      </c>
      <c r="AZ103" s="127">
        <f t="shared" ca="1" si="131"/>
        <v>136.1366701876203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4.9104784382047253</v>
      </c>
      <c r="BJ103" s="127">
        <f t="shared" ca="1" si="132"/>
        <v>135.70432501300314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4.9311170944601193</v>
      </c>
      <c r="BT103" s="127">
        <f t="shared" ca="1" si="133"/>
        <v>138.53418170064828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4.9126454500694781</v>
      </c>
      <c r="CI103" s="127">
        <f t="shared" ca="1" si="134"/>
        <v>135.9987167554001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119.78322264291478</v>
      </c>
      <c r="DT103" s="295">
        <f t="shared" ca="1" si="127"/>
        <v>135.59908387173093</v>
      </c>
      <c r="DU103" s="295">
        <f t="shared" ca="1" si="128"/>
        <v>-15.815861228816146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119.78322264291478</v>
      </c>
      <c r="EA103" s="127">
        <f t="shared" ca="1" si="138"/>
        <v>136.1366701876203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119.78322264291478</v>
      </c>
      <c r="EF103" s="127">
        <f t="shared" ca="1" si="142"/>
        <v>135.70432501300314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119.78322264291478</v>
      </c>
      <c r="EK103" s="127">
        <f t="shared" ca="1" si="146"/>
        <v>138.53418170064828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139.77999937419818</v>
      </c>
      <c r="Z104" s="15">
        <f t="shared" ca="1" si="84"/>
        <v>4.9400697535719349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177.84251112858965</v>
      </c>
      <c r="AE104" s="127">
        <f t="shared" ca="1" si="88"/>
        <v>4.9110638666129605</v>
      </c>
      <c r="AF104" s="127">
        <f t="shared" ca="1" si="129"/>
        <v>135.78379343925363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4.9166505505736122</v>
      </c>
      <c r="AP104" s="127">
        <f t="shared" ca="1" si="130"/>
        <v>136.54449750825844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4.9210333430020077</v>
      </c>
      <c r="AZ104" s="127">
        <f t="shared" ca="1" si="131"/>
        <v>137.14425704880503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4.9174655080460097</v>
      </c>
      <c r="BJ104" s="127">
        <f t="shared" ca="1" si="132"/>
        <v>136.65582082253965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4.9414757789299539</v>
      </c>
      <c r="BT104" s="127">
        <f t="shared" ca="1" si="133"/>
        <v>139.97667182869108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4.9198419843116987</v>
      </c>
      <c r="CI104" s="127">
        <f t="shared" ca="1" si="134"/>
        <v>136.98096633456339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139.77999937419818</v>
      </c>
      <c r="DT104" s="296">
        <f ca="1">+DT103/DT102*DT103</f>
        <v>136.54449750825836</v>
      </c>
      <c r="DU104" s="295">
        <f t="shared" ca="1" si="128"/>
        <v>3.235501865939824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139.77999937419818</v>
      </c>
      <c r="EA104" s="296">
        <f ca="1">+EA103/EA102*EA103</f>
        <v>137.14425704880506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139.77999937419818</v>
      </c>
      <c r="EF104" s="296">
        <f ca="1">+EF103/EF102*EF103</f>
        <v>136.65582082253951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139.77999937419818</v>
      </c>
      <c r="EK104" s="127">
        <f t="shared" ca="1" si="146"/>
        <v>139.97667182869108</v>
      </c>
    </row>
    <row r="105" spans="19:141" x14ac:dyDescent="0.2">
      <c r="X105" s="121" t="s">
        <v>86</v>
      </c>
      <c r="Y105" s="73">
        <f t="shared" ref="Y105:AD105" ca="1" si="147">SUM(Y69:Y104)</f>
        <v>4350.1437360993914</v>
      </c>
      <c r="Z105" s="15">
        <f t="shared" ca="1" si="147"/>
        <v>172.44827184554399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3217.1181978164532</v>
      </c>
      <c r="AE105" s="66"/>
      <c r="AF105" s="120"/>
      <c r="AH105" s="121" t="s">
        <v>86</v>
      </c>
      <c r="AI105" s="73">
        <f t="shared" ref="AI105:AN105" ca="1" si="148">SUM(AI69:AI104)</f>
        <v>3987.6836033453724</v>
      </c>
      <c r="AJ105" s="15">
        <f t="shared" ca="1" si="148"/>
        <v>158.1223970371282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2866.9913568136753</v>
      </c>
      <c r="AO105" s="66"/>
      <c r="AP105" s="120"/>
      <c r="AR105" s="121" t="s">
        <v>86</v>
      </c>
      <c r="AS105" s="73">
        <f t="shared" ref="AS105:AX105" ca="1" si="149">SUM(AS69:AS104)</f>
        <v>2985.2385656525912</v>
      </c>
      <c r="AT105" s="15">
        <f t="shared" ca="1" si="149"/>
        <v>115.71561321029139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2612.0814363519894</v>
      </c>
      <c r="AY105" s="66"/>
      <c r="AZ105" s="120"/>
      <c r="BB105" s="121" t="s">
        <v>86</v>
      </c>
      <c r="BC105" s="73">
        <f t="shared" ref="BC105:BH105" ca="1" si="150">SUM(BC69:BC104)</f>
        <v>2288.9978073950429</v>
      </c>
      <c r="BD105" s="15">
        <f t="shared" ca="1" si="150"/>
        <v>87.193822944825513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2226.8277204311526</v>
      </c>
      <c r="BI105" s="66"/>
      <c r="BJ105" s="120"/>
      <c r="BL105" s="121" t="s">
        <v>86</v>
      </c>
      <c r="BM105" s="73">
        <f t="shared" ref="BM105:BR105" ca="1" si="151">SUM(BM69:BM104)</f>
        <v>1556.2175377681583</v>
      </c>
      <c r="BN105" s="15">
        <f t="shared" ca="1" si="151"/>
        <v>58.36542774487436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1664.8959826081059</v>
      </c>
      <c r="BS105" s="66"/>
      <c r="BT105" s="120"/>
      <c r="CA105" s="121" t="s">
        <v>86</v>
      </c>
      <c r="CB105" s="73">
        <f t="shared" ref="CB105:CG105" ca="1" si="152">SUM(CB69:CB104)</f>
        <v>2471.4710511405892</v>
      </c>
      <c r="CC105" s="15">
        <f t="shared" ca="1" si="152"/>
        <v>96.309844755989943</v>
      </c>
      <c r="CD105" s="98">
        <f t="shared" ca="1" si="152"/>
        <v>20</v>
      </c>
      <c r="CE105" s="128">
        <f t="shared" ca="1" si="152"/>
        <v>430</v>
      </c>
      <c r="CF105" s="7">
        <f t="shared" ca="1" si="152"/>
        <v>9910</v>
      </c>
      <c r="CG105" s="15">
        <f t="shared" ca="1" si="152"/>
        <v>2075.4473575248608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4.7902297734873329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89.364394383790369</v>
      </c>
      <c r="AH106" s="7" t="s">
        <v>176</v>
      </c>
      <c r="AI106" s="7"/>
      <c r="AJ106" s="15">
        <f ca="1">+AJ105/AK105</f>
        <v>4.7915877890038843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86.878525964050766</v>
      </c>
      <c r="AR106" s="7" t="s">
        <v>176</v>
      </c>
      <c r="AS106" s="7"/>
      <c r="AT106" s="15">
        <f ca="1">+AT105/AU105</f>
        <v>4.8214838837621414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108.83672651466622</v>
      </c>
      <c r="BB106" s="7" t="s">
        <v>176</v>
      </c>
      <c r="BC106" s="7"/>
      <c r="BD106" s="15">
        <f ca="1">+BD105/BE105</f>
        <v>4.8441012747125285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123.71265113506404</v>
      </c>
      <c r="BL106" s="7" t="s">
        <v>176</v>
      </c>
      <c r="BM106" s="7"/>
      <c r="BN106" s="15">
        <f ca="1">+BN105/BO105</f>
        <v>4.863785645406197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138.74133188400882</v>
      </c>
      <c r="CA106" s="7" t="s">
        <v>176</v>
      </c>
      <c r="CB106" s="7"/>
      <c r="CC106" s="15">
        <f ca="1">+CC105/CD105</f>
        <v>4.8154922377994973</v>
      </c>
      <c r="CD106" s="7"/>
      <c r="CE106" s="7">
        <f ca="1">+CE105/CD105</f>
        <v>21.5</v>
      </c>
      <c r="CF106" s="7">
        <f ca="1">+CF105/CD105</f>
        <v>495.5</v>
      </c>
      <c r="CG106" s="15">
        <f ca="1">+CG105/CD105</f>
        <v>103.77236787624304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20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57.251116701600594</v>
      </c>
      <c r="X109" t="s">
        <v>254</v>
      </c>
      <c r="Y109" s="66">
        <f ca="1">Z105</f>
        <v>172.44827184554399</v>
      </c>
      <c r="AH109" t="s">
        <v>254</v>
      </c>
      <c r="AI109" s="66">
        <f ca="1">AJ105</f>
        <v>158.1223970371282</v>
      </c>
      <c r="AR109" t="s">
        <v>254</v>
      </c>
      <c r="AS109" s="66">
        <f ca="1">AT105</f>
        <v>115.71561321029139</v>
      </c>
      <c r="BB109" t="s">
        <v>254</v>
      </c>
      <c r="BC109" s="66">
        <f ca="1">BD105</f>
        <v>87.193822944825513</v>
      </c>
      <c r="BL109" t="s">
        <v>254</v>
      </c>
      <c r="BM109" s="66">
        <f ca="1">BN105</f>
        <v>58.36542774487436</v>
      </c>
      <c r="CA109" t="s">
        <v>254</v>
      </c>
      <c r="CB109" s="66">
        <f ca="1">CC105</f>
        <v>96.309844755989943</v>
      </c>
      <c r="DQ109" s="250" t="s">
        <v>245</v>
      </c>
      <c r="DR109" s="232"/>
      <c r="DS109" s="293">
        <f ca="1">SUMPRODUCT(DR69:DR104,DS69:DS104)/DR106</f>
        <v>120.83732600276088</v>
      </c>
      <c r="DX109" s="250" t="s">
        <v>245</v>
      </c>
      <c r="DY109" s="232"/>
      <c r="DZ109" s="293">
        <f ca="1">SUMPRODUCT(DY69:DY104,DZ69:DZ104)/DY106</f>
        <v>125.73459468631536</v>
      </c>
      <c r="EC109" s="250" t="s">
        <v>245</v>
      </c>
      <c r="ED109" s="232"/>
      <c r="EE109" s="293">
        <f ca="1">SUMPRODUCT(ED69:ED104,EE69:EE104)/ED106</f>
        <v>127.85202220503191</v>
      </c>
      <c r="EH109" s="250" t="s">
        <v>245</v>
      </c>
      <c r="EI109" s="232"/>
      <c r="EJ109" s="293">
        <f ca="1">SUMPRODUCT(EI69:EI104,EJ69:EJ104)/EI106</f>
        <v>130.63635431588878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14725.785504651771</v>
      </c>
      <c r="DX110" s="250" t="s">
        <v>521</v>
      </c>
      <c r="DY110" s="232"/>
      <c r="DZ110" s="293">
        <f ca="1">SUMPRODUCT(DY69:DY104,DZ69:DZ104,DZ69:DZ104)/DY106</f>
        <v>15894.109218627365</v>
      </c>
      <c r="EC110" s="250" t="s">
        <v>521</v>
      </c>
      <c r="ED110" s="232"/>
      <c r="EE110" s="293">
        <f ca="1">SUMPRODUCT(ED69:ED104,EE69:EE104,EE69:EE104)/ED106</f>
        <v>16429.789348393213</v>
      </c>
      <c r="EH110" s="250" t="s">
        <v>521</v>
      </c>
      <c r="EI110" s="232"/>
      <c r="EJ110" s="293">
        <f ca="1">SUMPRODUCT(EI69:EI104,EJ69:EJ104,EJ69:EJ104)/EI106</f>
        <v>17149.108880505766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29.330127770082051</v>
      </c>
      <c r="X111" s="1" t="s">
        <v>255</v>
      </c>
      <c r="Y111" s="59">
        <f ca="1">+AD106</f>
        <v>89.364394383790369</v>
      </c>
      <c r="AA111" t="s">
        <v>244</v>
      </c>
      <c r="AH111" s="1" t="s">
        <v>255</v>
      </c>
      <c r="AI111" s="59">
        <f ca="1">+AN106</f>
        <v>86.878525964050766</v>
      </c>
      <c r="AK111" t="s">
        <v>244</v>
      </c>
      <c r="AR111" s="1" t="s">
        <v>255</v>
      </c>
      <c r="AS111" s="59">
        <f ca="1">+AX106</f>
        <v>108.83672651466622</v>
      </c>
      <c r="AU111" t="s">
        <v>244</v>
      </c>
      <c r="BB111" s="1" t="s">
        <v>255</v>
      </c>
      <c r="BC111" s="59">
        <f ca="1">+BH106</f>
        <v>123.71265113506404</v>
      </c>
      <c r="BE111" t="s">
        <v>244</v>
      </c>
      <c r="BL111" s="1" t="s">
        <v>255</v>
      </c>
      <c r="BM111" s="59">
        <f ca="1">+BR106</f>
        <v>138.74133188400882</v>
      </c>
      <c r="BO111" t="s">
        <v>244</v>
      </c>
      <c r="CA111" s="1" t="s">
        <v>255</v>
      </c>
      <c r="CB111" s="59">
        <f ca="1">+CG106</f>
        <v>103.77236787624304</v>
      </c>
      <c r="CD111" t="s">
        <v>244</v>
      </c>
      <c r="DQ111" s="250" t="s">
        <v>522</v>
      </c>
      <c r="DR111" s="232"/>
      <c r="DS111" s="293">
        <f ca="1">SUMPRODUCT(DR69:DR104,DT69:DT104)/DR106</f>
        <v>115.258031345169</v>
      </c>
      <c r="DX111" s="250" t="s">
        <v>522</v>
      </c>
      <c r="DY111" s="232"/>
      <c r="DZ111" s="293">
        <f ca="1">SUMPRODUCT(DY69:DY104,EA69:EA104)/DY106</f>
        <v>126.15791031229975</v>
      </c>
      <c r="EC111" s="250" t="s">
        <v>522</v>
      </c>
      <c r="ED111" s="232"/>
      <c r="EE111" s="293">
        <f ca="1">SUMPRODUCT(ED69:ED104,EF69:EF104)/ED106</f>
        <v>128.86074844188187</v>
      </c>
      <c r="EH111" s="250" t="s">
        <v>522</v>
      </c>
      <c r="EI111" s="232"/>
      <c r="EJ111" s="293">
        <f ca="1">SUMPRODUCT(EI69:EI104,EK69:EK104)/EI106</f>
        <v>132.30928824678381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21.5</v>
      </c>
      <c r="DQ112" s="250" t="s">
        <v>523</v>
      </c>
      <c r="DR112" s="232"/>
      <c r="DS112" s="293">
        <f ca="1">SUMPRODUCT(DR69:DR104,DT69:DT104,DT69:DT104)/DR106</f>
        <v>14131.143712345689</v>
      </c>
      <c r="DX112" s="250" t="s">
        <v>523</v>
      </c>
      <c r="DY112" s="232"/>
      <c r="DZ112" s="293">
        <f ca="1">SUMPRODUCT(DY69:DY104,EA69:EA104,EA69:EA104)/DY106</f>
        <v>15957.265695625945</v>
      </c>
      <c r="EC112" s="250" t="s">
        <v>523</v>
      </c>
      <c r="ED112" s="232"/>
      <c r="EE112" s="293">
        <f ca="1">SUMPRODUCT(ED69:ED104,EF69:EF104,EF69:EF104)/ED106</f>
        <v>16626.906531841421</v>
      </c>
      <c r="EH112" s="250" t="s">
        <v>523</v>
      </c>
      <c r="EI112" s="232"/>
      <c r="EJ112" s="293">
        <f ca="1">SUMPRODUCT(EI69:EI104,EK69:EK104,EK69:EK104)/EI106</f>
        <v>17528.126113044549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1.5903087972666832</v>
      </c>
      <c r="X113" s="1" t="s">
        <v>256</v>
      </c>
      <c r="Y113" s="59">
        <f ca="1">Y109/Y108</f>
        <v>4.7902297734873329</v>
      </c>
      <c r="AH113" s="1" t="s">
        <v>256</v>
      </c>
      <c r="AI113" s="59">
        <f ca="1">AI109/AI108</f>
        <v>4.7915877890038843</v>
      </c>
      <c r="AR113" s="1" t="s">
        <v>256</v>
      </c>
      <c r="AS113" s="59">
        <f ca="1">AS109/AS108</f>
        <v>4.8214838837621414</v>
      </c>
      <c r="BB113" s="1" t="s">
        <v>256</v>
      </c>
      <c r="BC113" s="59">
        <f ca="1">BC109/BC108</f>
        <v>4.8441012747125285</v>
      </c>
      <c r="BL113" s="1" t="s">
        <v>256</v>
      </c>
      <c r="BM113" s="59">
        <f ca="1">BM109/BM108</f>
        <v>4.863785645406197</v>
      </c>
      <c r="CA113" s="1" t="s">
        <v>256</v>
      </c>
      <c r="CB113" s="59">
        <f ca="1">CB109/CB108</f>
        <v>4.8154922377994973</v>
      </c>
      <c r="DQ113" s="250" t="s">
        <v>524</v>
      </c>
      <c r="DR113" s="232"/>
      <c r="DS113" s="293">
        <f ca="1">SUMPRODUCT(DR69:DR104,DS69:DS104,DT69:DT104)/DR106</f>
        <v>14125.668040851851</v>
      </c>
      <c r="DX113" s="250" t="s">
        <v>524</v>
      </c>
      <c r="DY113" s="232"/>
      <c r="DZ113" s="293">
        <f ca="1">SUMPRODUCT(DY69:DY104,DZ69:DZ104,EA69:EA104)/DY106</f>
        <v>15899.672796678258</v>
      </c>
      <c r="EC113" s="250" t="s">
        <v>524</v>
      </c>
      <c r="ED113" s="232"/>
      <c r="EE113" s="293">
        <f ca="1">SUMPRODUCT(ED69:ED104,EE69:EE104,EF69:EF104)/ED106</f>
        <v>16497.921205602615</v>
      </c>
      <c r="EH113" s="250" t="s">
        <v>524</v>
      </c>
      <c r="EI113" s="232"/>
      <c r="EJ113" s="293">
        <f ca="1">SUMPRODUCT(EI69:EI104,EJ69:EJ104,EK69:EK104)/EI106</f>
        <v>17300.741857244531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495.5</v>
      </c>
      <c r="DQ114" s="232" t="s">
        <v>525</v>
      </c>
      <c r="DR114" s="232"/>
      <c r="DS114" s="262">
        <f ca="1">(DS113-DS109*DS111)/SQRT((DS110-DS109^2)*(DS112-DS111^2))</f>
        <v>0.61135040572301036</v>
      </c>
      <c r="DX114" s="232" t="s">
        <v>525</v>
      </c>
      <c r="DY114" s="232"/>
      <c r="DZ114" s="262">
        <f ca="1">(DZ113-DZ109*DZ111)/SQRT((DZ110-DZ109^2)*(DZ112-DZ111^2))</f>
        <v>0.62802410111246332</v>
      </c>
      <c r="EC114" s="232" t="s">
        <v>525</v>
      </c>
      <c r="ED114" s="232"/>
      <c r="EE114" s="262">
        <f ca="1">(EE113-EE109*EE111)/SQRT((EE110-EE109^2)*(EE112-EE111^2))</f>
        <v>0.5340719170242233</v>
      </c>
      <c r="EH114" s="232" t="s">
        <v>525</v>
      </c>
      <c r="EI114" s="232"/>
      <c r="EJ114" s="262">
        <f ca="1">(EJ113-EJ109*EJ111)/SQRT((EJ110-EJ109^2)*(EJ112-EJ111^2))</f>
        <v>0.37853773245863015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462.25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-8.3939749206106418E-4</v>
      </c>
      <c r="X116" s="28" t="s">
        <v>247</v>
      </c>
      <c r="Y116" s="66">
        <f ca="1">(Y111-Y113*Y112)/(Y114-Y115)</f>
        <v>6.9048053214644609E-3</v>
      </c>
      <c r="AH116" s="28" t="s">
        <v>247</v>
      </c>
      <c r="AI116" s="66">
        <f ca="1">(AI111-AI113*AI112)/(AI114-AI115)</f>
        <v>6.9479311983181892E-3</v>
      </c>
      <c r="AR116" s="28" t="s">
        <v>247</v>
      </c>
      <c r="AS116" s="66">
        <f ca="1">(AS111-AS113*AS112)/(AS114-AS115)</f>
        <v>7.3740340177678521E-3</v>
      </c>
      <c r="BB116" s="28" t="s">
        <v>247</v>
      </c>
      <c r="BC116" s="66">
        <f ca="1">(BC111-BC113*BC112)/(BC114-BC115)</f>
        <v>6.9870698412839386E-3</v>
      </c>
      <c r="BL116" s="28" t="s">
        <v>247</v>
      </c>
      <c r="BM116" s="66">
        <f ca="1">(BM111-BM113*BM112)/(BM114-BM115)</f>
        <v>1.0358684469834307E-2</v>
      </c>
      <c r="CA116" s="28" t="s">
        <v>247</v>
      </c>
      <c r="CB116" s="66">
        <f ca="1">(CB111-CB113*CB112)/(CB114-CB115)</f>
        <v>7.1965342422207583E-3</v>
      </c>
      <c r="DQ116" s="250" t="s">
        <v>595</v>
      </c>
      <c r="DS116" s="281">
        <f ca="1">SQRT(DS110-DS109^2)</f>
        <v>11.141191550021071</v>
      </c>
      <c r="DX116" s="250" t="s">
        <v>595</v>
      </c>
      <c r="DZ116" s="281">
        <f ca="1">SQRT(DZ110-DZ109^2)</f>
        <v>9.2152546191281512</v>
      </c>
      <c r="EC116" s="250" t="s">
        <v>595</v>
      </c>
      <c r="EE116" s="281">
        <f ca="1">SQRT(EE110-EE109^2)</f>
        <v>9.1460246269753505</v>
      </c>
      <c r="EH116" s="250" t="s">
        <v>595</v>
      </c>
      <c r="EJ116" s="281">
        <f ca="1">SQRT(EJ110-EJ109^2)</f>
        <v>9.1242430677472566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1.6058376508698129</v>
      </c>
      <c r="X117" s="28" t="s">
        <v>248</v>
      </c>
      <c r="Y117" s="66">
        <f ca="1">Y113-Y116*Y112</f>
        <v>4.6624908750402403</v>
      </c>
      <c r="AH117" s="28" t="s">
        <v>248</v>
      </c>
      <c r="AI117" s="66">
        <f ca="1">AI113-AI116*AI112</f>
        <v>4.6665250274341572</v>
      </c>
      <c r="AR117" s="28" t="s">
        <v>248</v>
      </c>
      <c r="AS117" s="66">
        <f ca="1">AS113-AS116*AS112</f>
        <v>4.6555681183623649</v>
      </c>
      <c r="BB117" s="28" t="s">
        <v>248</v>
      </c>
      <c r="BC117" s="66">
        <f ca="1">BC113-BC116*BC112</f>
        <v>4.6659309937597877</v>
      </c>
      <c r="BL117" s="28" t="s">
        <v>248</v>
      </c>
      <c r="BM117" s="66">
        <f ca="1">BM113-BM116*BM112</f>
        <v>4.5685631380159188</v>
      </c>
      <c r="CA117" s="28" t="s">
        <v>248</v>
      </c>
      <c r="CB117" s="66">
        <f ca="1">CB113-CB116*CB112</f>
        <v>4.6607667515917512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-1.0998226255106491E-2</v>
      </c>
      <c r="X118" t="s">
        <v>249</v>
      </c>
      <c r="Y118" s="126">
        <f ca="1">EXP(12*Y116+Y117)/EXP(Y117)-1</f>
        <v>8.6387165384540499E-2</v>
      </c>
      <c r="AH118" t="s">
        <v>249</v>
      </c>
      <c r="AI118" s="126">
        <f ca="1">EXP(12*AI116+AI117)/EXP(AI117)-1</f>
        <v>8.6949527675509897E-2</v>
      </c>
      <c r="AR118" t="s">
        <v>249</v>
      </c>
      <c r="AS118" s="126">
        <f ca="1">EXP(12*AS116+AS117)/EXP(AS117)-1</f>
        <v>9.2521588259768306E-2</v>
      </c>
      <c r="BB118" t="s">
        <v>249</v>
      </c>
      <c r="BC118" s="126">
        <f ca="1">EXP(12*BC116+BC117)/EXP(BC117)-1</f>
        <v>8.7460148329946197E-2</v>
      </c>
      <c r="BL118" t="s">
        <v>249</v>
      </c>
      <c r="BM118" s="126">
        <f ca="1">EXP(12*BM116+BM117)/EXP(BM117)-1</f>
        <v>0.13236029805262617</v>
      </c>
      <c r="CA118" t="s">
        <v>249</v>
      </c>
      <c r="CB118" s="126">
        <f ca="1">EXP(12*CB116+CB117)/EXP(CB117)-1</f>
        <v>9.0196996785068206E-2</v>
      </c>
    </row>
    <row r="119" spans="19:140" x14ac:dyDescent="0.2">
      <c r="S119" t="s">
        <v>250</v>
      </c>
      <c r="T119" t="s">
        <v>530</v>
      </c>
      <c r="V119">
        <f t="shared" ca="1" si="153"/>
        <v>-1.0999999999999996</v>
      </c>
      <c r="X119" t="s">
        <v>250</v>
      </c>
      <c r="Y119" t="str">
        <f ca="1">FIXED(Y118*100,1,TRUE)</f>
        <v>8.6</v>
      </c>
      <c r="AH119" t="s">
        <v>250</v>
      </c>
      <c r="AI119" t="str">
        <f ca="1">FIXED(AI118*100,1,TRUE)</f>
        <v>8.7</v>
      </c>
      <c r="AR119" t="s">
        <v>250</v>
      </c>
      <c r="AS119" t="str">
        <f ca="1">FIXED(AS118*100,1,TRUE)</f>
        <v>9.3</v>
      </c>
      <c r="BB119" t="s">
        <v>250</v>
      </c>
      <c r="BC119" t="str">
        <f ca="1">FIXED(BC118*100,1,TRUE)</f>
        <v>8.7</v>
      </c>
      <c r="BL119" t="s">
        <v>250</v>
      </c>
      <c r="BM119" t="str">
        <f ca="1">FIXED(BM118*100,1,TRUE)</f>
        <v>13.2</v>
      </c>
      <c r="CA119" t="s">
        <v>250</v>
      </c>
      <c r="CB119" t="str">
        <f ca="1">FIXED(CB118*100,1,TRUE)</f>
        <v>9.0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100.89458698895866</v>
      </c>
      <c r="Z131" s="15">
        <f>IF(Y131=0,0,LN(Y131))</f>
        <v>4.6140762786356468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4.6140762786356468</v>
      </c>
      <c r="AE131" s="127">
        <f ca="1">Y$54*$V131+Y$55</f>
        <v>4.6624908750402403</v>
      </c>
      <c r="AF131" s="127">
        <f ca="1">EXP(AE131)</f>
        <v>105.89953641665663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4.6665250274341572</v>
      </c>
      <c r="AP131" s="127">
        <f ca="1">EXP(AO131)</f>
        <v>106.3276141698947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4.6555681183623649</v>
      </c>
      <c r="AZ131" s="127">
        <f t="shared" ref="AZ131:AZ166" ca="1" si="155">EXP(AY131)</f>
        <v>105.16895144249325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4.6659309937597877</v>
      </c>
      <c r="BJ131" s="127">
        <f t="shared" ref="BJ131:BJ148" ca="1" si="156">EXP(BI131)</f>
        <v>106.26447074308015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4.5685631380159188</v>
      </c>
      <c r="BT131" s="127">
        <f t="shared" ref="BT131:BT148" ca="1" si="157">EXP(BS131)</f>
        <v>96.405488825159466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4.6607667515917512</v>
      </c>
      <c r="CI131" s="127">
        <f t="shared" ref="CI131:CI148" ca="1" si="158">EXP(CH131)</f>
        <v>105.7171098508865</v>
      </c>
    </row>
    <row r="132" spans="24:87" x14ac:dyDescent="0.2">
      <c r="X132" s="121">
        <f t="shared" ref="X132:Y166" si="159">+X8</f>
        <v>44317</v>
      </c>
      <c r="Y132" s="73">
        <f t="shared" si="159"/>
        <v>99.675216059479581</v>
      </c>
      <c r="Z132" s="15">
        <f t="shared" ref="Z132:Z166" si="160">IF(Y132=0,0,LN(Y132))</f>
        <v>4.601917060904694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9.203834121809388</v>
      </c>
      <c r="AE132" s="127">
        <f t="shared" ref="AE132:AE166" ca="1" si="164">Y$54*$V132+Y$55</f>
        <v>4.6624908750402403</v>
      </c>
      <c r="AF132" s="127">
        <f t="shared" ref="AF132:AF166" ca="1" si="165">EXP(AE132)</f>
        <v>105.89953641665663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4.6665250274341572</v>
      </c>
      <c r="AP132" s="127">
        <f ca="1">EXP(AO132)</f>
        <v>106.3276141698947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4.6555681183623649</v>
      </c>
      <c r="AZ132" s="127">
        <f t="shared" ca="1" si="155"/>
        <v>105.16895144249325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4.6659309937597877</v>
      </c>
      <c r="BJ132" s="127">
        <f t="shared" ca="1" si="156"/>
        <v>106.26447074308015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4.5685631380159188</v>
      </c>
      <c r="BT132" s="127">
        <f t="shared" ca="1" si="157"/>
        <v>96.405488825159466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4.6607667515917512</v>
      </c>
      <c r="CI132" s="127">
        <f t="shared" ca="1" si="158"/>
        <v>105.7171098508865</v>
      </c>
    </row>
    <row r="133" spans="24:87" x14ac:dyDescent="0.2">
      <c r="X133" s="121">
        <f t="shared" si="159"/>
        <v>44348</v>
      </c>
      <c r="Y133" s="73">
        <f t="shared" si="159"/>
        <v>107.90997929051117</v>
      </c>
      <c r="Z133" s="15">
        <f t="shared" si="160"/>
        <v>4.6812973544611687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14.043892063383506</v>
      </c>
      <c r="AE133" s="127">
        <f t="shared" ca="1" si="164"/>
        <v>4.6624908750402403</v>
      </c>
      <c r="AF133" s="127">
        <f t="shared" ca="1" si="165"/>
        <v>105.89953641665663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4.6665250274341572</v>
      </c>
      <c r="AP133" s="127">
        <f ca="1">EXP(AO133)</f>
        <v>106.3276141698947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4.6555681183623649</v>
      </c>
      <c r="AZ133" s="127">
        <f t="shared" ca="1" si="155"/>
        <v>105.16895144249325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4.6659309937597877</v>
      </c>
      <c r="BJ133" s="127">
        <f t="shared" ca="1" si="156"/>
        <v>106.26447074308015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4.5685631380159188</v>
      </c>
      <c r="BT133" s="127">
        <f t="shared" ca="1" si="157"/>
        <v>96.405488825159466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4.6607667515917512</v>
      </c>
      <c r="CI133" s="127">
        <f t="shared" ca="1" si="158"/>
        <v>105.7171098508865</v>
      </c>
    </row>
    <row r="134" spans="24:87" x14ac:dyDescent="0.2">
      <c r="X134" s="121">
        <f t="shared" si="159"/>
        <v>44378</v>
      </c>
      <c r="Y134" s="73">
        <f t="shared" si="159"/>
        <v>108.29673471066521</v>
      </c>
      <c r="Z134" s="15">
        <f t="shared" si="160"/>
        <v>4.6848750031430422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18.739500012572169</v>
      </c>
      <c r="AE134" s="127">
        <f t="shared" ca="1" si="164"/>
        <v>4.6624908750402403</v>
      </c>
      <c r="AF134" s="127">
        <f t="shared" ca="1" si="165"/>
        <v>105.89953641665663</v>
      </c>
      <c r="AH134" s="121">
        <f t="shared" si="154"/>
        <v>44378</v>
      </c>
      <c r="AI134" s="73">
        <f t="shared" si="166"/>
        <v>111.54678433493287</v>
      </c>
      <c r="AJ134" s="15">
        <f t="shared" si="167"/>
        <v>4.7144440933445457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18.857776373378183</v>
      </c>
      <c r="AO134" s="127">
        <f t="shared" ca="1" si="171"/>
        <v>4.6665250274341572</v>
      </c>
      <c r="AP134" s="127">
        <f t="shared" ref="AP134:AP166" ca="1" si="198">EXP(AO134)</f>
        <v>106.3276141698947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4.6555681183623649</v>
      </c>
      <c r="AZ134" s="127">
        <f t="shared" ca="1" si="155"/>
        <v>105.16895144249325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4.6659309937597877</v>
      </c>
      <c r="BJ134" s="127">
        <f t="shared" ca="1" si="156"/>
        <v>106.26447074308015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4.5685631380159188</v>
      </c>
      <c r="BT134" s="127">
        <f t="shared" ca="1" si="157"/>
        <v>96.405488825159466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4.6607667515917512</v>
      </c>
      <c r="CI134" s="127">
        <f t="shared" ca="1" si="158"/>
        <v>105.7171098508865</v>
      </c>
    </row>
    <row r="135" spans="24:87" x14ac:dyDescent="0.2">
      <c r="X135" s="121">
        <f t="shared" si="159"/>
        <v>44409</v>
      </c>
      <c r="Y135" s="73">
        <f t="shared" si="159"/>
        <v>114.76950676537243</v>
      </c>
      <c r="Z135" s="15">
        <f t="shared" si="160"/>
        <v>4.7429258280913968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23.714629140456985</v>
      </c>
      <c r="AE135" s="127">
        <f t="shared" ca="1" si="164"/>
        <v>4.6624908750402403</v>
      </c>
      <c r="AF135" s="127">
        <f t="shared" ca="1" si="165"/>
        <v>105.89953641665663</v>
      </c>
      <c r="AH135" s="121">
        <f t="shared" si="154"/>
        <v>44409</v>
      </c>
      <c r="AI135" s="73">
        <f t="shared" si="166"/>
        <v>114.19934325585734</v>
      </c>
      <c r="AJ135" s="15">
        <f t="shared" si="167"/>
        <v>4.737945546381007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23.689727731905034</v>
      </c>
      <c r="AO135" s="127">
        <f t="shared" ca="1" si="171"/>
        <v>4.6665250274341572</v>
      </c>
      <c r="AP135" s="127">
        <f t="shared" ca="1" si="198"/>
        <v>106.3276141698947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4.6555681183623649</v>
      </c>
      <c r="AZ135" s="127">
        <f t="shared" ca="1" si="155"/>
        <v>105.16895144249325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4.6659309937597877</v>
      </c>
      <c r="BJ135" s="127">
        <f t="shared" ca="1" si="156"/>
        <v>106.26447074308015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4.5685631380159188</v>
      </c>
      <c r="BT135" s="127">
        <f t="shared" ca="1" si="157"/>
        <v>96.405488825159466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4.6607667515917512</v>
      </c>
      <c r="CI135" s="127">
        <f t="shared" ca="1" si="158"/>
        <v>105.7171098508865</v>
      </c>
    </row>
    <row r="136" spans="24:87" x14ac:dyDescent="0.2">
      <c r="X136" s="121">
        <f t="shared" si="159"/>
        <v>44440</v>
      </c>
      <c r="Y136" s="73">
        <f t="shared" si="159"/>
        <v>117.72995171430985</v>
      </c>
      <c r="Z136" s="15">
        <f t="shared" si="160"/>
        <v>4.7683934569508031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28.610360741704817</v>
      </c>
      <c r="AE136" s="127">
        <f t="shared" ca="1" si="164"/>
        <v>4.6624908750402403</v>
      </c>
      <c r="AF136" s="127">
        <f t="shared" ca="1" si="165"/>
        <v>105.89953641665663</v>
      </c>
      <c r="AH136" s="121">
        <f t="shared" si="154"/>
        <v>44440</v>
      </c>
      <c r="AI136" s="73">
        <f t="shared" si="166"/>
        <v>115.09034372016781</v>
      </c>
      <c r="AJ136" s="15">
        <f t="shared" si="167"/>
        <v>4.7457174175096775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28.474304505058065</v>
      </c>
      <c r="AO136" s="127">
        <f t="shared" ca="1" si="171"/>
        <v>4.6665250274341572</v>
      </c>
      <c r="AP136" s="127">
        <f t="shared" ca="1" si="198"/>
        <v>106.3276141698947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4.6555681183623649</v>
      </c>
      <c r="AZ136" s="127">
        <f t="shared" ca="1" si="155"/>
        <v>105.16895144249325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4.6659309937597877</v>
      </c>
      <c r="BJ136" s="127">
        <f t="shared" ca="1" si="156"/>
        <v>106.26447074308015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4.5685631380159188</v>
      </c>
      <c r="BT136" s="127">
        <f t="shared" ca="1" si="157"/>
        <v>96.405488825159466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4.6607667515917512</v>
      </c>
      <c r="CI136" s="127">
        <f t="shared" ca="1" si="158"/>
        <v>105.7171098508865</v>
      </c>
    </row>
    <row r="137" spans="24:87" x14ac:dyDescent="0.2">
      <c r="X137" s="121">
        <f t="shared" si="159"/>
        <v>44470</v>
      </c>
      <c r="Y137" s="73">
        <f t="shared" si="159"/>
        <v>120.89931746925885</v>
      </c>
      <c r="Z137" s="15">
        <f t="shared" si="160"/>
        <v>4.7949581121892519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33.564706785324766</v>
      </c>
      <c r="AE137" s="127">
        <f t="shared" ca="1" si="164"/>
        <v>4.6624908750402403</v>
      </c>
      <c r="AF137" s="127">
        <f t="shared" ca="1" si="165"/>
        <v>105.89953641665663</v>
      </c>
      <c r="AH137" s="121">
        <f t="shared" si="154"/>
        <v>44470</v>
      </c>
      <c r="AI137" s="73">
        <f t="shared" si="166"/>
        <v>114.1633284376632</v>
      </c>
      <c r="AJ137" s="15">
        <f t="shared" si="167"/>
        <v>4.7376301286446001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33.163410900512204</v>
      </c>
      <c r="AO137" s="127">
        <f t="shared" ca="1" si="171"/>
        <v>4.6665250274341572</v>
      </c>
      <c r="AP137" s="127">
        <f t="shared" ca="1" si="198"/>
        <v>106.3276141698947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4.6555681183623649</v>
      </c>
      <c r="AZ137" s="127">
        <f t="shared" ca="1" si="155"/>
        <v>105.16895144249325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4.6659309937597877</v>
      </c>
      <c r="BJ137" s="127">
        <f t="shared" ca="1" si="156"/>
        <v>106.26447074308015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4.5685631380159188</v>
      </c>
      <c r="BT137" s="127">
        <f t="shared" ca="1" si="157"/>
        <v>96.405488825159466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4.6607667515917512</v>
      </c>
      <c r="CI137" s="127">
        <f t="shared" ca="1" si="158"/>
        <v>105.7171098508865</v>
      </c>
    </row>
    <row r="138" spans="24:87" x14ac:dyDescent="0.2">
      <c r="X138" s="121">
        <f t="shared" si="159"/>
        <v>44501</v>
      </c>
      <c r="Y138" s="73">
        <f t="shared" si="159"/>
        <v>115.59056958502657</v>
      </c>
      <c r="Z138" s="15">
        <f t="shared" si="160"/>
        <v>4.750054374926413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38.000434999411304</v>
      </c>
      <c r="AE138" s="127">
        <f t="shared" ca="1" si="164"/>
        <v>4.6624908750402403</v>
      </c>
      <c r="AF138" s="127">
        <f t="shared" ca="1" si="165"/>
        <v>105.89953641665663</v>
      </c>
      <c r="AH138" s="121">
        <f t="shared" si="154"/>
        <v>44501</v>
      </c>
      <c r="AI138" s="73">
        <f t="shared" si="166"/>
        <v>112.74585782753446</v>
      </c>
      <c r="AJ138" s="15">
        <f t="shared" si="167"/>
        <v>4.7251362400364085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37.801089920291268</v>
      </c>
      <c r="AO138" s="127">
        <f t="shared" ca="1" si="171"/>
        <v>4.6665250274341572</v>
      </c>
      <c r="AP138" s="127">
        <f t="shared" ca="1" si="198"/>
        <v>106.3276141698947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4.6555681183623649</v>
      </c>
      <c r="AZ138" s="127">
        <f t="shared" ca="1" si="155"/>
        <v>105.16895144249325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4.6659309937597877</v>
      </c>
      <c r="BJ138" s="127">
        <f t="shared" ca="1" si="156"/>
        <v>106.26447074308015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4.5685631380159188</v>
      </c>
      <c r="BT138" s="127">
        <f t="shared" ca="1" si="157"/>
        <v>96.405488825159466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4.6607667515917512</v>
      </c>
      <c r="CI138" s="127">
        <f t="shared" ca="1" si="158"/>
        <v>105.7171098508865</v>
      </c>
    </row>
    <row r="139" spans="24:87" x14ac:dyDescent="0.2">
      <c r="X139" s="121">
        <f t="shared" si="159"/>
        <v>44531</v>
      </c>
      <c r="Y139" s="73">
        <f t="shared" si="159"/>
        <v>113.25598207637394</v>
      </c>
      <c r="Z139" s="15">
        <f t="shared" si="160"/>
        <v>4.7296505848345545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42.566855263510988</v>
      </c>
      <c r="AE139" s="127">
        <f t="shared" ca="1" si="164"/>
        <v>4.6624908750402403</v>
      </c>
      <c r="AF139" s="127">
        <f t="shared" ca="1" si="165"/>
        <v>105.89953641665663</v>
      </c>
      <c r="AH139" s="121">
        <f t="shared" si="154"/>
        <v>44531</v>
      </c>
      <c r="AI139" s="73">
        <f t="shared" si="166"/>
        <v>113.87291468308784</v>
      </c>
      <c r="AJ139" s="15">
        <f t="shared" si="167"/>
        <v>4.7350830430795217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42.615747387715693</v>
      </c>
      <c r="AO139" s="127">
        <f t="shared" ca="1" si="171"/>
        <v>4.6665250274341572</v>
      </c>
      <c r="AP139" s="127">
        <f t="shared" ca="1" si="198"/>
        <v>106.3276141698947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4.6555681183623649</v>
      </c>
      <c r="AZ139" s="127">
        <f t="shared" ca="1" si="155"/>
        <v>105.16895144249325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4.6659309937597877</v>
      </c>
      <c r="BJ139" s="127">
        <f t="shared" ca="1" si="156"/>
        <v>106.26447074308015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4.5685631380159188</v>
      </c>
      <c r="BT139" s="127">
        <f t="shared" ca="1" si="157"/>
        <v>96.405488825159466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4.6607667515917512</v>
      </c>
      <c r="CI139" s="127">
        <f t="shared" ca="1" si="158"/>
        <v>105.7171098508865</v>
      </c>
    </row>
    <row r="140" spans="24:87" x14ac:dyDescent="0.2">
      <c r="X140" s="121">
        <f t="shared" si="159"/>
        <v>44562</v>
      </c>
      <c r="Y140" s="73">
        <f t="shared" si="159"/>
        <v>102.7346430156375</v>
      </c>
      <c r="Z140" s="15">
        <f t="shared" si="160"/>
        <v>4.6321493825043047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46.321493825043049</v>
      </c>
      <c r="AE140" s="127">
        <f t="shared" ca="1" si="164"/>
        <v>4.6624908750402403</v>
      </c>
      <c r="AF140" s="127">
        <f t="shared" ca="1" si="165"/>
        <v>105.89953641665663</v>
      </c>
      <c r="AH140" s="121">
        <f t="shared" si="154"/>
        <v>44562</v>
      </c>
      <c r="AI140" s="73">
        <f t="shared" si="166"/>
        <v>112.65073149923825</v>
      </c>
      <c r="AJ140" s="15">
        <f t="shared" si="167"/>
        <v>4.7242921604145449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47.242921604145451</v>
      </c>
      <c r="AO140" s="127">
        <f t="shared" ca="1" si="171"/>
        <v>4.6665250274341572</v>
      </c>
      <c r="AP140" s="127">
        <f t="shared" ca="1" si="198"/>
        <v>106.3276141698947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4.6555681183623649</v>
      </c>
      <c r="AZ140" s="127">
        <f t="shared" ca="1" si="155"/>
        <v>105.16895144249325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4.6659309937597877</v>
      </c>
      <c r="BJ140" s="127">
        <f t="shared" ca="1" si="156"/>
        <v>106.26447074308015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4.5685631380159188</v>
      </c>
      <c r="BT140" s="127">
        <f t="shared" ca="1" si="157"/>
        <v>96.405488825159466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4.6607667515917512</v>
      </c>
      <c r="CI140" s="127">
        <f t="shared" ca="1" si="158"/>
        <v>105.7171098508865</v>
      </c>
    </row>
    <row r="141" spans="24:87" x14ac:dyDescent="0.2">
      <c r="X141" s="121">
        <f t="shared" si="159"/>
        <v>44593</v>
      </c>
      <c r="Y141" s="73">
        <f t="shared" si="159"/>
        <v>106.26468310460019</v>
      </c>
      <c r="Z141" s="15">
        <f t="shared" si="160"/>
        <v>4.6659329921822739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51.325262914005009</v>
      </c>
      <c r="AE141" s="127">
        <f t="shared" ca="1" si="164"/>
        <v>4.6624908750402403</v>
      </c>
      <c r="AF141" s="127">
        <f t="shared" ca="1" si="165"/>
        <v>105.89953641665663</v>
      </c>
      <c r="AH141" s="121">
        <f t="shared" si="154"/>
        <v>44593</v>
      </c>
      <c r="AI141" s="73">
        <f t="shared" si="166"/>
        <v>112.6633057319781</v>
      </c>
      <c r="AJ141" s="15">
        <f t="shared" si="167"/>
        <v>4.7244037755887032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51.968441531475733</v>
      </c>
      <c r="AO141" s="127">
        <f t="shared" ca="1" si="171"/>
        <v>4.6665250274341572</v>
      </c>
      <c r="AP141" s="127">
        <f t="shared" ca="1" si="198"/>
        <v>106.3276141698947</v>
      </c>
      <c r="AR141" s="121">
        <f t="shared" si="172"/>
        <v>44593</v>
      </c>
      <c r="AS141" s="73">
        <f>+AI141</f>
        <v>112.6633057319781</v>
      </c>
      <c r="AT141" s="15">
        <f t="shared" si="173"/>
        <v>4.7244037755887032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51.968441531475733</v>
      </c>
      <c r="AY141" s="127">
        <f t="shared" ca="1" si="177"/>
        <v>4.6555681183623649</v>
      </c>
      <c r="AZ141" s="127">
        <f t="shared" ca="1" si="155"/>
        <v>105.16895144249325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4.6659309937597877</v>
      </c>
      <c r="BJ141" s="127">
        <f t="shared" ca="1" si="156"/>
        <v>106.26447074308015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4.5685631380159188</v>
      </c>
      <c r="BT141" s="127">
        <f t="shared" ca="1" si="157"/>
        <v>96.405488825159466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4.6607667515917512</v>
      </c>
      <c r="CI141" s="127">
        <f t="shared" ca="1" si="158"/>
        <v>105.7171098508865</v>
      </c>
    </row>
    <row r="142" spans="24:87" x14ac:dyDescent="0.2">
      <c r="X142" s="121">
        <f t="shared" si="159"/>
        <v>44621</v>
      </c>
      <c r="Y142" s="73">
        <f t="shared" si="159"/>
        <v>124.49229284762997</v>
      </c>
      <c r="Z142" s="15">
        <f t="shared" si="160"/>
        <v>4.8242438091502651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57.890925709803184</v>
      </c>
      <c r="AE142" s="127">
        <f t="shared" ca="1" si="164"/>
        <v>4.6624908750402403</v>
      </c>
      <c r="AF142" s="127">
        <f t="shared" ca="1" si="165"/>
        <v>105.89953641665663</v>
      </c>
      <c r="AH142" s="121">
        <f t="shared" si="154"/>
        <v>44621</v>
      </c>
      <c r="AI142" s="73">
        <f t="shared" si="166"/>
        <v>113.5043190260684</v>
      </c>
      <c r="AJ142" s="15">
        <f t="shared" si="167"/>
        <v>4.7318408892905701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56.782090671486841</v>
      </c>
      <c r="AO142" s="127">
        <f t="shared" ca="1" si="171"/>
        <v>4.6665250274341572</v>
      </c>
      <c r="AP142" s="127">
        <f t="shared" ca="1" si="198"/>
        <v>106.3276141698947</v>
      </c>
      <c r="AR142" s="121">
        <f t="shared" si="172"/>
        <v>44621</v>
      </c>
      <c r="AS142" s="73">
        <f t="shared" ref="AS142:AS164" si="199">+AI142</f>
        <v>113.5043190260684</v>
      </c>
      <c r="AT142" s="15">
        <f t="shared" si="173"/>
        <v>4.7318408892905701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56.782090671486841</v>
      </c>
      <c r="AY142" s="127">
        <f t="shared" ca="1" si="177"/>
        <v>4.6555681183623649</v>
      </c>
      <c r="AZ142" s="127">
        <f t="shared" ca="1" si="155"/>
        <v>105.16895144249325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4.6659309937597877</v>
      </c>
      <c r="BJ142" s="127">
        <f t="shared" ca="1" si="156"/>
        <v>106.26447074308015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4.5685631380159188</v>
      </c>
      <c r="BT142" s="127">
        <f t="shared" ca="1" si="157"/>
        <v>96.405488825159466</v>
      </c>
      <c r="BZ142" s="583">
        <f t="shared" si="190"/>
        <v>1</v>
      </c>
      <c r="CA142" s="121">
        <f t="shared" si="191"/>
        <v>44621</v>
      </c>
      <c r="CB142" s="127">
        <f t="shared" si="192"/>
        <v>113.5043190260684</v>
      </c>
      <c r="CC142" s="15">
        <f t="shared" si="193"/>
        <v>4.7318408892905701</v>
      </c>
      <c r="CD142" s="98">
        <f t="shared" si="194"/>
        <v>1</v>
      </c>
      <c r="CE142" s="128">
        <f>IF(CD142&gt;0,12,0)</f>
        <v>12</v>
      </c>
      <c r="CF142" s="128">
        <f t="shared" si="195"/>
        <v>144</v>
      </c>
      <c r="CG142" s="15">
        <f t="shared" si="196"/>
        <v>56.782090671486841</v>
      </c>
      <c r="CH142" s="127">
        <f t="shared" ca="1" si="197"/>
        <v>4.6607667515917512</v>
      </c>
      <c r="CI142" s="127">
        <f t="shared" ca="1" si="158"/>
        <v>105.7171098508865</v>
      </c>
    </row>
    <row r="143" spans="24:87" x14ac:dyDescent="0.2">
      <c r="X143" s="121">
        <f t="shared" si="159"/>
        <v>44652</v>
      </c>
      <c r="Y143" s="73">
        <f t="shared" si="159"/>
        <v>113.56621836616137</v>
      </c>
      <c r="Z143" s="15">
        <f t="shared" si="160"/>
        <v>4.7323860885254607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61.521019150830988</v>
      </c>
      <c r="AE143" s="127">
        <f t="shared" ca="1" si="164"/>
        <v>4.6624908750402403</v>
      </c>
      <c r="AF143" s="127">
        <f t="shared" ca="1" si="165"/>
        <v>105.89953641665663</v>
      </c>
      <c r="AH143" s="121">
        <f t="shared" si="154"/>
        <v>44652</v>
      </c>
      <c r="AI143" s="73">
        <f t="shared" si="166"/>
        <v>115.39976067069767</v>
      </c>
      <c r="AJ143" s="15">
        <f t="shared" si="167"/>
        <v>4.7484022801610832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61.729229642094083</v>
      </c>
      <c r="AO143" s="127">
        <f t="shared" ca="1" si="171"/>
        <v>4.6665250274341572</v>
      </c>
      <c r="AP143" s="127">
        <f t="shared" ca="1" si="198"/>
        <v>106.3276141698947</v>
      </c>
      <c r="AR143" s="121">
        <f t="shared" si="172"/>
        <v>44652</v>
      </c>
      <c r="AS143" s="73">
        <f>+AI143</f>
        <v>115.39976067069767</v>
      </c>
      <c r="AT143" s="15">
        <f t="shared" si="173"/>
        <v>4.7484022801610832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61.729229642094083</v>
      </c>
      <c r="AY143" s="127">
        <f t="shared" ca="1" si="177"/>
        <v>4.6555681183623649</v>
      </c>
      <c r="AZ143" s="127">
        <f t="shared" ca="1" si="155"/>
        <v>105.16895144249325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4.6659309937597877</v>
      </c>
      <c r="BJ143" s="127">
        <f t="shared" ca="1" si="156"/>
        <v>106.26447074308015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4.5685631380159188</v>
      </c>
      <c r="BT143" s="127">
        <f t="shared" ca="1" si="157"/>
        <v>96.405488825159466</v>
      </c>
      <c r="BZ143" s="583">
        <f t="shared" si="190"/>
        <v>1</v>
      </c>
      <c r="CA143" s="121">
        <f t="shared" si="191"/>
        <v>44652</v>
      </c>
      <c r="CB143" s="127">
        <f t="shared" si="192"/>
        <v>115.39976067069767</v>
      </c>
      <c r="CC143" s="15">
        <f t="shared" si="193"/>
        <v>4.7484022801610832</v>
      </c>
      <c r="CD143" s="98">
        <f t="shared" si="194"/>
        <v>1</v>
      </c>
      <c r="CE143" s="128">
        <f>IF(CD143&gt;0,13,0)</f>
        <v>13</v>
      </c>
      <c r="CF143" s="128">
        <f t="shared" si="195"/>
        <v>169</v>
      </c>
      <c r="CG143" s="15">
        <f t="shared" si="196"/>
        <v>61.729229642094083</v>
      </c>
      <c r="CH143" s="127">
        <f t="shared" ca="1" si="197"/>
        <v>4.6607667515917512</v>
      </c>
      <c r="CI143" s="127">
        <f t="shared" ca="1" si="158"/>
        <v>105.7171098508865</v>
      </c>
    </row>
    <row r="144" spans="24:87" x14ac:dyDescent="0.2">
      <c r="X144" s="121">
        <f t="shared" si="159"/>
        <v>44682</v>
      </c>
      <c r="Y144" s="73">
        <f t="shared" si="159"/>
        <v>115.66601498146562</v>
      </c>
      <c r="Z144" s="15">
        <f t="shared" si="160"/>
        <v>4.7507068570968745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66.509895999356246</v>
      </c>
      <c r="AE144" s="127">
        <f t="shared" ca="1" si="164"/>
        <v>4.6624908750402403</v>
      </c>
      <c r="AF144" s="127">
        <f t="shared" ca="1" si="165"/>
        <v>105.89953641665663</v>
      </c>
      <c r="AH144" s="121">
        <f t="shared" si="154"/>
        <v>44682</v>
      </c>
      <c r="AI144" s="73">
        <f t="shared" si="166"/>
        <v>119.21629943200766</v>
      </c>
      <c r="AJ144" s="15">
        <f t="shared" si="167"/>
        <v>4.7809394854845664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66.933152796783929</v>
      </c>
      <c r="AO144" s="127">
        <f t="shared" ca="1" si="171"/>
        <v>4.6665250274341572</v>
      </c>
      <c r="AP144" s="127">
        <f t="shared" ca="1" si="198"/>
        <v>106.3276141698947</v>
      </c>
      <c r="AR144" s="121">
        <f t="shared" si="172"/>
        <v>44682</v>
      </c>
      <c r="AS144" s="73">
        <f t="shared" si="199"/>
        <v>119.21629943200766</v>
      </c>
      <c r="AT144" s="15">
        <f t="shared" si="173"/>
        <v>4.7809394854845664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66.933152796783929</v>
      </c>
      <c r="AY144" s="127">
        <f t="shared" ca="1" si="177"/>
        <v>4.6555681183623649</v>
      </c>
      <c r="AZ144" s="127">
        <f t="shared" ca="1" si="155"/>
        <v>105.16895144249325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4.6659309937597877</v>
      </c>
      <c r="BJ144" s="127">
        <f t="shared" ca="1" si="156"/>
        <v>106.26447074308015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4.5685631380159188</v>
      </c>
      <c r="BT144" s="127">
        <f t="shared" ca="1" si="157"/>
        <v>96.405488825159466</v>
      </c>
      <c r="BZ144" s="583">
        <f t="shared" si="190"/>
        <v>1</v>
      </c>
      <c r="CA144" s="121">
        <f t="shared" si="191"/>
        <v>44682</v>
      </c>
      <c r="CB144" s="127">
        <f t="shared" si="192"/>
        <v>119.21629943200766</v>
      </c>
      <c r="CC144" s="15">
        <f t="shared" si="193"/>
        <v>4.7809394854845664</v>
      </c>
      <c r="CD144" s="98">
        <f t="shared" si="194"/>
        <v>1</v>
      </c>
      <c r="CE144" s="128">
        <f>IF(CD144&gt;0,14,0)</f>
        <v>14</v>
      </c>
      <c r="CF144" s="128">
        <f t="shared" si="195"/>
        <v>196</v>
      </c>
      <c r="CG144" s="15">
        <f t="shared" si="196"/>
        <v>66.933152796783929</v>
      </c>
      <c r="CH144" s="127">
        <f t="shared" ca="1" si="197"/>
        <v>4.6607667515917512</v>
      </c>
      <c r="CI144" s="127">
        <f t="shared" ca="1" si="158"/>
        <v>105.7171098508865</v>
      </c>
    </row>
    <row r="145" spans="24:87" x14ac:dyDescent="0.2">
      <c r="X145" s="121">
        <f t="shared" si="159"/>
        <v>44713</v>
      </c>
      <c r="Y145" s="73">
        <f t="shared" si="159"/>
        <v>118.30206184091573</v>
      </c>
      <c r="Z145" s="15">
        <f t="shared" si="160"/>
        <v>4.7732411997497524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71.59861799624629</v>
      </c>
      <c r="AE145" s="127">
        <f t="shared" ca="1" si="164"/>
        <v>4.6624908750402403</v>
      </c>
      <c r="AF145" s="127">
        <f t="shared" ca="1" si="165"/>
        <v>105.89953641665663</v>
      </c>
      <c r="AH145" s="121">
        <f t="shared" si="154"/>
        <v>44713</v>
      </c>
      <c r="AI145" s="73">
        <f t="shared" si="166"/>
        <v>119.38231213016569</v>
      </c>
      <c r="AJ145" s="15">
        <f t="shared" si="167"/>
        <v>4.7823310503713925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71.734965755570883</v>
      </c>
      <c r="AO145" s="127">
        <f t="shared" ca="1" si="171"/>
        <v>4.6665250274341572</v>
      </c>
      <c r="AP145" s="127">
        <f t="shared" ca="1" si="198"/>
        <v>106.3276141698947</v>
      </c>
      <c r="AR145" s="121">
        <f t="shared" si="172"/>
        <v>44713</v>
      </c>
      <c r="AS145" s="73">
        <f t="shared" si="199"/>
        <v>119.38231213016569</v>
      </c>
      <c r="AT145" s="15">
        <f t="shared" si="173"/>
        <v>4.7823310503713925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71.734965755570883</v>
      </c>
      <c r="AY145" s="127">
        <f t="shared" ca="1" si="177"/>
        <v>4.6555681183623649</v>
      </c>
      <c r="AZ145" s="127">
        <f t="shared" ca="1" si="155"/>
        <v>105.16895144249325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4.6659309937597877</v>
      </c>
      <c r="BJ145" s="127">
        <f t="shared" ca="1" si="156"/>
        <v>106.26447074308015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4.5685631380159188</v>
      </c>
      <c r="BT145" s="127">
        <f t="shared" ca="1" si="157"/>
        <v>96.405488825159466</v>
      </c>
      <c r="BZ145" s="583">
        <f t="shared" si="190"/>
        <v>1</v>
      </c>
      <c r="CA145" s="121">
        <f t="shared" si="191"/>
        <v>44713</v>
      </c>
      <c r="CB145" s="127">
        <f t="shared" si="192"/>
        <v>119.38231213016569</v>
      </c>
      <c r="CC145" s="15">
        <f t="shared" si="193"/>
        <v>4.7823310503713925</v>
      </c>
      <c r="CD145" s="98">
        <f t="shared" si="194"/>
        <v>1</v>
      </c>
      <c r="CE145" s="128">
        <f>IF(CD145&gt;0,15,0)</f>
        <v>15</v>
      </c>
      <c r="CF145" s="128">
        <f t="shared" si="195"/>
        <v>225</v>
      </c>
      <c r="CG145" s="15">
        <f t="shared" si="196"/>
        <v>71.734965755570883</v>
      </c>
      <c r="CH145" s="127">
        <f t="shared" ca="1" si="197"/>
        <v>4.6607667515917512</v>
      </c>
      <c r="CI145" s="127">
        <f t="shared" ca="1" si="158"/>
        <v>105.7171098508865</v>
      </c>
    </row>
    <row r="146" spans="24:87" x14ac:dyDescent="0.2">
      <c r="X146" s="121">
        <f t="shared" si="159"/>
        <v>44743</v>
      </c>
      <c r="Y146" s="73">
        <f t="shared" si="159"/>
        <v>114.10729288341315</v>
      </c>
      <c r="Z146" s="15">
        <f t="shared" si="160"/>
        <v>4.7371391714197824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75.794226742716518</v>
      </c>
      <c r="AE146" s="127">
        <f t="shared" ca="1" si="164"/>
        <v>4.6624908750402403</v>
      </c>
      <c r="AF146" s="127">
        <f t="shared" ca="1" si="165"/>
        <v>105.89953641665663</v>
      </c>
      <c r="AH146" s="121">
        <f t="shared" si="154"/>
        <v>44743</v>
      </c>
      <c r="AI146" s="73">
        <f t="shared" si="166"/>
        <v>121.6610274610419</v>
      </c>
      <c r="AJ146" s="15">
        <f t="shared" si="167"/>
        <v>4.8012387142049322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76.819819427278915</v>
      </c>
      <c r="AO146" s="127">
        <f t="shared" ca="1" si="171"/>
        <v>4.6665250274341572</v>
      </c>
      <c r="AP146" s="127">
        <f t="shared" ca="1" si="198"/>
        <v>106.3276141698947</v>
      </c>
      <c r="AR146" s="121">
        <f t="shared" si="172"/>
        <v>44743</v>
      </c>
      <c r="AS146" s="73">
        <f t="shared" si="199"/>
        <v>121.6610274610419</v>
      </c>
      <c r="AT146" s="15">
        <f t="shared" si="173"/>
        <v>4.8012387142049322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76.819819427278915</v>
      </c>
      <c r="AY146" s="127">
        <f t="shared" ca="1" si="177"/>
        <v>4.6555681183623649</v>
      </c>
      <c r="AZ146" s="127">
        <f t="shared" ca="1" si="155"/>
        <v>105.16895144249325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4.6659309937597877</v>
      </c>
      <c r="BJ146" s="127">
        <f t="shared" ca="1" si="156"/>
        <v>106.26447074308015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4.5685631380159188</v>
      </c>
      <c r="BT146" s="127">
        <f t="shared" ca="1" si="157"/>
        <v>96.405488825159466</v>
      </c>
      <c r="BZ146" s="583">
        <f t="shared" si="190"/>
        <v>1</v>
      </c>
      <c r="CA146" s="121">
        <f t="shared" si="191"/>
        <v>44743</v>
      </c>
      <c r="CB146" s="127">
        <f t="shared" si="192"/>
        <v>121.6610274610419</v>
      </c>
      <c r="CC146" s="15">
        <f t="shared" si="193"/>
        <v>4.8012387142049322</v>
      </c>
      <c r="CD146" s="98">
        <f t="shared" si="194"/>
        <v>1</v>
      </c>
      <c r="CE146" s="128">
        <f>IF(CD146&gt;0,16,0)</f>
        <v>16</v>
      </c>
      <c r="CF146" s="128">
        <f t="shared" si="195"/>
        <v>256</v>
      </c>
      <c r="CG146" s="15">
        <f t="shared" si="196"/>
        <v>76.819819427278915</v>
      </c>
      <c r="CH146" s="127">
        <f t="shared" ca="1" si="197"/>
        <v>4.6607667515917512</v>
      </c>
      <c r="CI146" s="127">
        <f t="shared" ca="1" si="158"/>
        <v>105.7171098508865</v>
      </c>
    </row>
    <row r="147" spans="24:87" x14ac:dyDescent="0.2">
      <c r="X147" s="121">
        <f t="shared" si="159"/>
        <v>44774</v>
      </c>
      <c r="Y147" s="73">
        <f t="shared" si="159"/>
        <v>129.16391567246009</v>
      </c>
      <c r="Z147" s="15">
        <f t="shared" si="160"/>
        <v>4.8610822618788223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82.638398451939977</v>
      </c>
      <c r="AE147" s="127">
        <f t="shared" ca="1" si="164"/>
        <v>4.6624908750402403</v>
      </c>
      <c r="AF147" s="127">
        <f t="shared" ca="1" si="165"/>
        <v>105.89953641665663</v>
      </c>
      <c r="AH147" s="121">
        <f t="shared" si="154"/>
        <v>44774</v>
      </c>
      <c r="AI147" s="73">
        <f t="shared" si="166"/>
        <v>122.30571863485011</v>
      </c>
      <c r="AJ147" s="15">
        <f t="shared" si="167"/>
        <v>4.8065238006747721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81.710904611471122</v>
      </c>
      <c r="AO147" s="127">
        <f t="shared" ca="1" si="171"/>
        <v>4.6665250274341572</v>
      </c>
      <c r="AP147" s="127">
        <f t="shared" ca="1" si="198"/>
        <v>106.3276141698947</v>
      </c>
      <c r="AR147" s="121">
        <f t="shared" si="172"/>
        <v>44774</v>
      </c>
      <c r="AS147" s="73">
        <f t="shared" si="199"/>
        <v>122.30571863485011</v>
      </c>
      <c r="AT147" s="15">
        <f t="shared" si="173"/>
        <v>4.8065238006747721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81.710904611471122</v>
      </c>
      <c r="AY147" s="127">
        <f t="shared" ca="1" si="177"/>
        <v>4.6555681183623649</v>
      </c>
      <c r="AZ147" s="127">
        <f t="shared" ca="1" si="155"/>
        <v>105.16895144249325</v>
      </c>
      <c r="BB147" s="121">
        <f t="shared" si="178"/>
        <v>44774</v>
      </c>
      <c r="BC147" s="73">
        <f>+AI147</f>
        <v>122.30571863485011</v>
      </c>
      <c r="BD147" s="15">
        <f t="shared" si="179"/>
        <v>4.8065238006747721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81.710904611471122</v>
      </c>
      <c r="BI147" s="127">
        <f t="shared" ca="1" si="183"/>
        <v>4.6659309937597877</v>
      </c>
      <c r="BJ147" s="127">
        <f t="shared" ca="1" si="156"/>
        <v>106.26447074308015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4.5685631380159188</v>
      </c>
      <c r="BT147" s="127">
        <f t="shared" ca="1" si="157"/>
        <v>96.405488825159466</v>
      </c>
      <c r="BZ147" s="583">
        <f t="shared" si="190"/>
        <v>1</v>
      </c>
      <c r="CA147" s="121">
        <f t="shared" si="191"/>
        <v>44774</v>
      </c>
      <c r="CB147" s="127">
        <f t="shared" si="192"/>
        <v>122.30571863485011</v>
      </c>
      <c r="CC147" s="15">
        <f t="shared" si="193"/>
        <v>4.8065238006747721</v>
      </c>
      <c r="CD147" s="98">
        <f t="shared" si="194"/>
        <v>1</v>
      </c>
      <c r="CE147" s="128">
        <f>IF(CD147&gt;0,17,0)</f>
        <v>17</v>
      </c>
      <c r="CF147" s="128">
        <f t="shared" si="195"/>
        <v>289</v>
      </c>
      <c r="CG147" s="15">
        <f t="shared" si="196"/>
        <v>81.710904611471122</v>
      </c>
      <c r="CH147" s="127">
        <f t="shared" ca="1" si="197"/>
        <v>4.6607667515917512</v>
      </c>
      <c r="CI147" s="127">
        <f t="shared" ca="1" si="158"/>
        <v>105.7171098508865</v>
      </c>
    </row>
    <row r="148" spans="24:87" x14ac:dyDescent="0.2">
      <c r="X148" s="121">
        <f t="shared" si="159"/>
        <v>44805</v>
      </c>
      <c r="Y148" s="73">
        <f t="shared" si="159"/>
        <v>125.48836903657812</v>
      </c>
      <c r="Z148" s="15">
        <f t="shared" si="160"/>
        <v>4.8322130772776823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86.979835390998289</v>
      </c>
      <c r="AE148" s="127">
        <f t="shared" ca="1" si="164"/>
        <v>4.6624908750402403</v>
      </c>
      <c r="AF148" s="127">
        <f t="shared" ca="1" si="165"/>
        <v>105.89953641665663</v>
      </c>
      <c r="AH148" s="121">
        <f t="shared" si="154"/>
        <v>44805</v>
      </c>
      <c r="AI148" s="73">
        <f t="shared" si="166"/>
        <v>122.56748305125792</v>
      </c>
      <c r="AJ148" s="15">
        <f t="shared" si="167"/>
        <v>4.8086617603560526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86.555911686408948</v>
      </c>
      <c r="AO148" s="127">
        <f t="shared" ca="1" si="171"/>
        <v>4.6665250274341572</v>
      </c>
      <c r="AP148" s="127">
        <f t="shared" ca="1" si="198"/>
        <v>106.3276141698947</v>
      </c>
      <c r="AR148" s="121">
        <f t="shared" si="172"/>
        <v>44805</v>
      </c>
      <c r="AS148" s="73">
        <f t="shared" si="199"/>
        <v>122.56748305125792</v>
      </c>
      <c r="AT148" s="15">
        <f t="shared" si="173"/>
        <v>4.8086617603560526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86.555911686408948</v>
      </c>
      <c r="AY148" s="127">
        <f t="shared" ca="1" si="177"/>
        <v>4.6555681183623649</v>
      </c>
      <c r="AZ148" s="127">
        <f t="shared" ca="1" si="155"/>
        <v>105.16895144249325</v>
      </c>
      <c r="BB148" s="121">
        <f t="shared" si="178"/>
        <v>44805</v>
      </c>
      <c r="BC148" s="73">
        <f t="shared" ref="BC148:BC164" si="200">+AI148</f>
        <v>122.56748305125792</v>
      </c>
      <c r="BD148" s="15">
        <f t="shared" si="179"/>
        <v>4.8086617603560526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86.555911686408948</v>
      </c>
      <c r="BI148" s="127">
        <f t="shared" ca="1" si="183"/>
        <v>4.6659309937597877</v>
      </c>
      <c r="BJ148" s="127">
        <f t="shared" ca="1" si="156"/>
        <v>106.26447074308015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4.5685631380159188</v>
      </c>
      <c r="BT148" s="127">
        <f t="shared" ca="1" si="157"/>
        <v>96.405488825159466</v>
      </c>
      <c r="BZ148" s="583">
        <f t="shared" si="190"/>
        <v>1</v>
      </c>
      <c r="CA148" s="121">
        <f t="shared" si="191"/>
        <v>44805</v>
      </c>
      <c r="CB148" s="127">
        <f t="shared" si="192"/>
        <v>122.56748305125792</v>
      </c>
      <c r="CC148" s="15">
        <f t="shared" si="193"/>
        <v>4.8086617603560526</v>
      </c>
      <c r="CD148" s="98">
        <f t="shared" si="194"/>
        <v>1</v>
      </c>
      <c r="CE148" s="128">
        <f>IF(CD148&gt;0,18,0)</f>
        <v>18</v>
      </c>
      <c r="CF148" s="128">
        <f t="shared" si="195"/>
        <v>324</v>
      </c>
      <c r="CG148" s="15">
        <f t="shared" si="196"/>
        <v>86.555911686408948</v>
      </c>
      <c r="CH148" s="127">
        <f t="shared" ca="1" si="197"/>
        <v>4.6607667515917512</v>
      </c>
      <c r="CI148" s="127">
        <f t="shared" ca="1" si="158"/>
        <v>105.7171098508865</v>
      </c>
    </row>
    <row r="149" spans="24:87" x14ac:dyDescent="0.2">
      <c r="X149" s="121">
        <f t="shared" si="159"/>
        <v>44835</v>
      </c>
      <c r="Y149" s="73">
        <f t="shared" si="159"/>
        <v>127.23851035141863</v>
      </c>
      <c r="Z149" s="15">
        <f t="shared" si="160"/>
        <v>4.8460633594202278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92.075203828984328</v>
      </c>
      <c r="AE149" s="127">
        <f t="shared" ca="1" si="164"/>
        <v>4.6624908750402403</v>
      </c>
      <c r="AF149" s="127">
        <f t="shared" ca="1" si="165"/>
        <v>105.89953641665663</v>
      </c>
      <c r="AH149" s="121">
        <f t="shared" si="154"/>
        <v>44835</v>
      </c>
      <c r="AI149" s="73">
        <f t="shared" si="166"/>
        <v>122.88523022526658</v>
      </c>
      <c r="AJ149" s="15">
        <f t="shared" si="167"/>
        <v>4.8112508321757366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91.41376581133899</v>
      </c>
      <c r="AO149" s="127">
        <f t="shared" ca="1" si="171"/>
        <v>4.6665250274341572</v>
      </c>
      <c r="AP149" s="127">
        <f t="shared" ca="1" si="198"/>
        <v>106.3276141698947</v>
      </c>
      <c r="AR149" s="121">
        <f t="shared" si="172"/>
        <v>44835</v>
      </c>
      <c r="AS149" s="73">
        <f t="shared" si="199"/>
        <v>122.88523022526658</v>
      </c>
      <c r="AT149" s="15">
        <f t="shared" si="173"/>
        <v>4.8112508321757366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91.41376581133899</v>
      </c>
      <c r="AY149" s="127">
        <f t="shared" ca="1" si="177"/>
        <v>4.6555681183623649</v>
      </c>
      <c r="AZ149" s="127">
        <f t="shared" ca="1" si="155"/>
        <v>105.16895144249325</v>
      </c>
      <c r="BB149" s="121">
        <f t="shared" si="178"/>
        <v>44835</v>
      </c>
      <c r="BC149" s="73">
        <f>+AI149</f>
        <v>122.88523022526658</v>
      </c>
      <c r="BD149" s="15">
        <f t="shared" si="179"/>
        <v>4.8112508321757366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91.41376581133899</v>
      </c>
      <c r="BI149" s="127">
        <f t="shared" ca="1" si="183"/>
        <v>4.6659309937597877</v>
      </c>
      <c r="BJ149" s="127">
        <f ca="1">EXP(BI149)</f>
        <v>106.26447074308015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4.5685631380159188</v>
      </c>
      <c r="BT149" s="127">
        <f ca="1">EXP(BS149)</f>
        <v>96.405488825159466</v>
      </c>
      <c r="BZ149" s="583">
        <f t="shared" si="190"/>
        <v>1</v>
      </c>
      <c r="CA149" s="121">
        <f t="shared" si="191"/>
        <v>44835</v>
      </c>
      <c r="CB149" s="127">
        <f t="shared" si="192"/>
        <v>122.88523022526658</v>
      </c>
      <c r="CC149" s="15">
        <f t="shared" si="193"/>
        <v>4.8112508321757366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91.41376581133899</v>
      </c>
      <c r="CH149" s="127">
        <f t="shared" ca="1" si="197"/>
        <v>4.6607667515917512</v>
      </c>
      <c r="CI149" s="127">
        <f ca="1">EXP(CH149)</f>
        <v>105.7171098508865</v>
      </c>
    </row>
    <row r="150" spans="24:87" x14ac:dyDescent="0.2">
      <c r="X150" s="121">
        <f t="shared" si="159"/>
        <v>44866</v>
      </c>
      <c r="Y150" s="73">
        <f t="shared" si="159"/>
        <v>119.53416202431487</v>
      </c>
      <c r="Z150" s="15">
        <f t="shared" si="160"/>
        <v>4.7836022051976439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95.672044103952885</v>
      </c>
      <c r="AE150" s="127">
        <f t="shared" ca="1" si="164"/>
        <v>4.6624908750402403</v>
      </c>
      <c r="AF150" s="127">
        <f t="shared" ca="1" si="165"/>
        <v>105.89953641665663</v>
      </c>
      <c r="AH150" s="121">
        <f t="shared" si="154"/>
        <v>44866</v>
      </c>
      <c r="AI150" s="73">
        <f t="shared" si="166"/>
        <v>120.93742153691777</v>
      </c>
      <c r="AJ150" s="15">
        <f t="shared" si="167"/>
        <v>4.7952732344335462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95.905464688670918</v>
      </c>
      <c r="AO150" s="127">
        <f t="shared" ca="1" si="171"/>
        <v>4.6665250274341572</v>
      </c>
      <c r="AP150" s="127">
        <f t="shared" ca="1" si="198"/>
        <v>106.3276141698947</v>
      </c>
      <c r="AR150" s="121">
        <f t="shared" si="172"/>
        <v>44866</v>
      </c>
      <c r="AS150" s="73">
        <f t="shared" si="199"/>
        <v>120.93742153691777</v>
      </c>
      <c r="AT150" s="15">
        <f t="shared" si="173"/>
        <v>4.7952732344335462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95.905464688670918</v>
      </c>
      <c r="AY150" s="127">
        <f t="shared" ca="1" si="177"/>
        <v>4.6555681183623649</v>
      </c>
      <c r="AZ150" s="127">
        <f t="shared" ca="1" si="155"/>
        <v>105.16895144249325</v>
      </c>
      <c r="BB150" s="121">
        <f t="shared" si="178"/>
        <v>44866</v>
      </c>
      <c r="BC150" s="73">
        <f t="shared" si="200"/>
        <v>120.93742153691777</v>
      </c>
      <c r="BD150" s="15">
        <f t="shared" si="179"/>
        <v>4.7952732344335462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95.905464688670918</v>
      </c>
      <c r="BI150" s="127">
        <f t="shared" ca="1" si="183"/>
        <v>4.6659309937597877</v>
      </c>
      <c r="BJ150" s="127">
        <f t="shared" ref="BJ150:BJ166" ca="1" si="201">EXP(BI150)</f>
        <v>106.26447074308015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4.5685631380159188</v>
      </c>
      <c r="BT150" s="127">
        <f t="shared" ref="BT150:BT166" ca="1" si="202">EXP(BS150)</f>
        <v>96.405488825159466</v>
      </c>
      <c r="BZ150" s="583">
        <f t="shared" si="190"/>
        <v>1</v>
      </c>
      <c r="CA150" s="121">
        <f t="shared" si="191"/>
        <v>44866</v>
      </c>
      <c r="CB150" s="127">
        <f t="shared" si="192"/>
        <v>120.93742153691777</v>
      </c>
      <c r="CC150" s="15">
        <f t="shared" si="193"/>
        <v>4.7952732344335462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95.905464688670918</v>
      </c>
      <c r="CH150" s="127">
        <f t="shared" ca="1" si="197"/>
        <v>4.6607667515917512</v>
      </c>
      <c r="CI150" s="127">
        <f t="shared" ref="CI150:CI166" ca="1" si="203">EXP(CH150)</f>
        <v>105.7171098508865</v>
      </c>
    </row>
    <row r="151" spans="24:87" x14ac:dyDescent="0.2">
      <c r="X151" s="121">
        <f t="shared" si="159"/>
        <v>44896</v>
      </c>
      <c r="Y151" s="73">
        <f t="shared" si="159"/>
        <v>119.87264833936263</v>
      </c>
      <c r="Z151" s="15">
        <f t="shared" si="160"/>
        <v>4.7864299154041889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100.51502822348797</v>
      </c>
      <c r="AE151" s="127">
        <f t="shared" ca="1" si="164"/>
        <v>4.6624908750402403</v>
      </c>
      <c r="AF151" s="127">
        <f t="shared" ca="1" si="165"/>
        <v>105.89953641665663</v>
      </c>
      <c r="AH151" s="121">
        <f t="shared" si="154"/>
        <v>44896</v>
      </c>
      <c r="AI151" s="73">
        <f t="shared" si="166"/>
        <v>122.28335798331818</v>
      </c>
      <c r="AJ151" s="15">
        <f t="shared" si="167"/>
        <v>4.8063409580727772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100.93316011952832</v>
      </c>
      <c r="AO151" s="127">
        <f t="shared" ca="1" si="171"/>
        <v>4.6665250274341572</v>
      </c>
      <c r="AP151" s="127">
        <f t="shared" ca="1" si="198"/>
        <v>106.3276141698947</v>
      </c>
      <c r="AR151" s="121">
        <f t="shared" si="172"/>
        <v>44896</v>
      </c>
      <c r="AS151" s="73">
        <f t="shared" si="199"/>
        <v>122.28335798331818</v>
      </c>
      <c r="AT151" s="15">
        <f t="shared" si="173"/>
        <v>4.8063409580727772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100.93316011952832</v>
      </c>
      <c r="AY151" s="127">
        <f t="shared" ca="1" si="177"/>
        <v>4.6555681183623649</v>
      </c>
      <c r="AZ151" s="127">
        <f t="shared" ca="1" si="155"/>
        <v>105.16895144249325</v>
      </c>
      <c r="BB151" s="121">
        <f t="shared" si="178"/>
        <v>44896</v>
      </c>
      <c r="BC151" s="73">
        <f t="shared" si="200"/>
        <v>122.28335798331818</v>
      </c>
      <c r="BD151" s="15">
        <f t="shared" si="179"/>
        <v>4.8063409580727772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100.93316011952832</v>
      </c>
      <c r="BI151" s="127">
        <f t="shared" ca="1" si="183"/>
        <v>4.6659309937597877</v>
      </c>
      <c r="BJ151" s="127">
        <f t="shared" ca="1" si="201"/>
        <v>106.26447074308015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4.5685631380159188</v>
      </c>
      <c r="BT151" s="127">
        <f t="shared" ca="1" si="202"/>
        <v>96.405488825159466</v>
      </c>
      <c r="BZ151" s="583">
        <f t="shared" si="190"/>
        <v>1</v>
      </c>
      <c r="CA151" s="121">
        <f t="shared" si="191"/>
        <v>44896</v>
      </c>
      <c r="CB151" s="127">
        <f t="shared" si="192"/>
        <v>122.28335798331818</v>
      </c>
      <c r="CC151" s="15">
        <f t="shared" si="193"/>
        <v>4.8063409580727772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100.93316011952832</v>
      </c>
      <c r="CH151" s="127">
        <f t="shared" ca="1" si="197"/>
        <v>4.6607667515917512</v>
      </c>
      <c r="CI151" s="127">
        <f t="shared" ca="1" si="203"/>
        <v>105.7171098508865</v>
      </c>
    </row>
    <row r="152" spans="24:87" x14ac:dyDescent="0.2">
      <c r="X152" s="121">
        <f t="shared" si="159"/>
        <v>44927</v>
      </c>
      <c r="Y152" s="73">
        <f t="shared" si="159"/>
        <v>116.01377592746509</v>
      </c>
      <c r="Z152" s="15">
        <f t="shared" si="160"/>
        <v>4.7537089420505811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104.58159672511279</v>
      </c>
      <c r="AE152" s="127">
        <f t="shared" ca="1" si="164"/>
        <v>4.6624908750402403</v>
      </c>
      <c r="AF152" s="127">
        <f t="shared" ca="1" si="165"/>
        <v>105.89953641665663</v>
      </c>
      <c r="AH152" s="121">
        <f t="shared" si="154"/>
        <v>44927</v>
      </c>
      <c r="AI152" s="73">
        <f t="shared" ca="1" si="166"/>
        <v>120.8446009189651</v>
      </c>
      <c r="AJ152" s="15">
        <f t="shared" ca="1" si="167"/>
        <v>4.794505430263742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105.47911946580233</v>
      </c>
      <c r="AO152" s="127">
        <f t="shared" ca="1" si="171"/>
        <v>4.6665250274341572</v>
      </c>
      <c r="AP152" s="127">
        <f t="shared" ca="1" si="198"/>
        <v>106.3276141698947</v>
      </c>
      <c r="AR152" s="121">
        <f t="shared" si="172"/>
        <v>44927</v>
      </c>
      <c r="AS152" s="73">
        <f t="shared" ca="1" si="199"/>
        <v>120.8446009189651</v>
      </c>
      <c r="AT152" s="15">
        <f t="shared" ca="1" si="173"/>
        <v>4.794505430263742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105.47911946580233</v>
      </c>
      <c r="AY152" s="127">
        <f t="shared" ca="1" si="177"/>
        <v>4.6555681183623649</v>
      </c>
      <c r="AZ152" s="127">
        <f t="shared" ca="1" si="155"/>
        <v>105.16895144249325</v>
      </c>
      <c r="BB152" s="121">
        <f t="shared" si="178"/>
        <v>44927</v>
      </c>
      <c r="BC152" s="73">
        <f t="shared" ca="1" si="200"/>
        <v>120.8446009189651</v>
      </c>
      <c r="BD152" s="15">
        <f t="shared" ca="1" si="179"/>
        <v>4.794505430263742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105.47911946580233</v>
      </c>
      <c r="BI152" s="127">
        <f t="shared" ca="1" si="183"/>
        <v>4.6659309937597877</v>
      </c>
      <c r="BJ152" s="127">
        <f t="shared" ca="1" si="201"/>
        <v>106.26447074308015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4.5685631380159188</v>
      </c>
      <c r="BT152" s="127">
        <f t="shared" ca="1" si="202"/>
        <v>96.405488825159466</v>
      </c>
      <c r="BZ152" s="583">
        <f t="shared" si="190"/>
        <v>1</v>
      </c>
      <c r="CA152" s="121">
        <f t="shared" si="191"/>
        <v>44927</v>
      </c>
      <c r="CB152" s="127">
        <f t="shared" ca="1" si="192"/>
        <v>120.8446009189651</v>
      </c>
      <c r="CC152" s="15">
        <f t="shared" ca="1" si="193"/>
        <v>4.794505430263742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105.47911946580233</v>
      </c>
      <c r="CH152" s="127">
        <f t="shared" ca="1" si="197"/>
        <v>4.6607667515917512</v>
      </c>
      <c r="CI152" s="127">
        <f t="shared" ca="1" si="203"/>
        <v>105.7171098508865</v>
      </c>
    </row>
    <row r="153" spans="24:87" x14ac:dyDescent="0.2">
      <c r="X153" s="121">
        <f t="shared" si="159"/>
        <v>44958</v>
      </c>
      <c r="Y153" s="73">
        <f t="shared" si="159"/>
        <v>117.47706354236719</v>
      </c>
      <c r="Z153" s="15">
        <f t="shared" si="160"/>
        <v>4.7662431106347061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109.62359154459824</v>
      </c>
      <c r="AE153" s="127">
        <f t="shared" ca="1" si="164"/>
        <v>4.6624908750402403</v>
      </c>
      <c r="AF153" s="127">
        <f t="shared" ca="1" si="165"/>
        <v>105.89953641665663</v>
      </c>
      <c r="AH153" s="121">
        <f t="shared" si="154"/>
        <v>44958</v>
      </c>
      <c r="AI153" s="73">
        <f t="shared" ca="1" si="166"/>
        <v>121.64511381178606</v>
      </c>
      <c r="AJ153" s="15">
        <f t="shared" ca="1" si="167"/>
        <v>4.8011079024695995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110.42548175680079</v>
      </c>
      <c r="AO153" s="127">
        <f t="shared" ca="1" si="171"/>
        <v>4.6665250274341572</v>
      </c>
      <c r="AP153" s="127">
        <f t="shared" ca="1" si="198"/>
        <v>106.3276141698947</v>
      </c>
      <c r="AR153" s="121">
        <f t="shared" si="172"/>
        <v>44958</v>
      </c>
      <c r="AS153" s="73">
        <f t="shared" ca="1" si="199"/>
        <v>121.64511381178606</v>
      </c>
      <c r="AT153" s="15">
        <f t="shared" ca="1" si="173"/>
        <v>4.8011079024695995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110.42548175680079</v>
      </c>
      <c r="AY153" s="127">
        <f t="shared" ca="1" si="177"/>
        <v>4.6555681183623649</v>
      </c>
      <c r="AZ153" s="127">
        <f t="shared" ca="1" si="155"/>
        <v>105.16895144249325</v>
      </c>
      <c r="BB153" s="121">
        <f t="shared" si="178"/>
        <v>44958</v>
      </c>
      <c r="BC153" s="73">
        <f t="shared" ca="1" si="200"/>
        <v>121.64511381178606</v>
      </c>
      <c r="BD153" s="15">
        <f t="shared" ca="1" si="179"/>
        <v>4.8011079024695995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110.42548175680079</v>
      </c>
      <c r="BI153" s="127">
        <f t="shared" ca="1" si="183"/>
        <v>4.6659309937597877</v>
      </c>
      <c r="BJ153" s="127">
        <f t="shared" ca="1" si="201"/>
        <v>106.26447074308015</v>
      </c>
      <c r="BL153" s="121">
        <f t="shared" si="184"/>
        <v>44958</v>
      </c>
      <c r="BM153" s="73">
        <f ca="1">+AI153</f>
        <v>121.64511381178606</v>
      </c>
      <c r="BN153" s="15">
        <f t="shared" ca="1" si="185"/>
        <v>4.8011079024695995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110.42548175680079</v>
      </c>
      <c r="BS153" s="127">
        <f t="shared" ca="1" si="189"/>
        <v>4.5685631380159188</v>
      </c>
      <c r="BT153" s="127">
        <f t="shared" ca="1" si="202"/>
        <v>96.405488825159466</v>
      </c>
      <c r="BZ153" s="583">
        <f t="shared" si="190"/>
        <v>1</v>
      </c>
      <c r="CA153" s="121">
        <f t="shared" si="191"/>
        <v>44958</v>
      </c>
      <c r="CB153" s="127">
        <f t="shared" ca="1" si="192"/>
        <v>121.64511381178606</v>
      </c>
      <c r="CC153" s="15">
        <f t="shared" ca="1" si="193"/>
        <v>4.8011079024695995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110.42548175680079</v>
      </c>
      <c r="CH153" s="127">
        <f t="shared" ca="1" si="197"/>
        <v>4.6607667515917512</v>
      </c>
      <c r="CI153" s="127">
        <f t="shared" ca="1" si="203"/>
        <v>105.7171098508865</v>
      </c>
    </row>
    <row r="154" spans="24:87" x14ac:dyDescent="0.2">
      <c r="X154" s="121">
        <f t="shared" si="159"/>
        <v>44986</v>
      </c>
      <c r="Y154" s="73">
        <f t="shared" si="159"/>
        <v>133.5639877149807</v>
      </c>
      <c r="Z154" s="15">
        <f t="shared" si="160"/>
        <v>4.8945806717350155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117.46993612164037</v>
      </c>
      <c r="AE154" s="127">
        <f t="shared" ca="1" si="164"/>
        <v>4.6624908750402403</v>
      </c>
      <c r="AF154" s="127">
        <f t="shared" ca="1" si="165"/>
        <v>105.89953641665663</v>
      </c>
      <c r="AH154" s="121">
        <f t="shared" si="154"/>
        <v>44986</v>
      </c>
      <c r="AI154" s="73">
        <f t="shared" ca="1" si="166"/>
        <v>122.7546048711114</v>
      </c>
      <c r="AJ154" s="15">
        <f t="shared" ca="1" si="167"/>
        <v>4.8101872801959296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115.44449472470231</v>
      </c>
      <c r="AO154" s="127">
        <f t="shared" ca="1" si="171"/>
        <v>4.6665250274341572</v>
      </c>
      <c r="AP154" s="127">
        <f t="shared" ca="1" si="198"/>
        <v>106.3276141698947</v>
      </c>
      <c r="AR154" s="121">
        <f t="shared" si="172"/>
        <v>44986</v>
      </c>
      <c r="AS154" s="73">
        <f t="shared" ca="1" si="199"/>
        <v>122.7546048711114</v>
      </c>
      <c r="AT154" s="15">
        <f t="shared" ca="1" si="173"/>
        <v>4.8101872801959296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115.44449472470231</v>
      </c>
      <c r="AY154" s="127">
        <f t="shared" ca="1" si="177"/>
        <v>4.6555681183623649</v>
      </c>
      <c r="AZ154" s="127">
        <f t="shared" ca="1" si="155"/>
        <v>105.16895144249325</v>
      </c>
      <c r="BB154" s="121">
        <f t="shared" si="178"/>
        <v>44986</v>
      </c>
      <c r="BC154" s="73">
        <f t="shared" ca="1" si="200"/>
        <v>122.7546048711114</v>
      </c>
      <c r="BD154" s="15">
        <f t="shared" ca="1" si="179"/>
        <v>4.8101872801959296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115.44449472470231</v>
      </c>
      <c r="BI154" s="127">
        <f t="shared" ca="1" si="183"/>
        <v>4.6659309937597877</v>
      </c>
      <c r="BJ154" s="127">
        <f t="shared" ca="1" si="201"/>
        <v>106.26447074308015</v>
      </c>
      <c r="BL154" s="121">
        <f t="shared" si="184"/>
        <v>44986</v>
      </c>
      <c r="BM154" s="73">
        <f t="shared" ref="BM154:BM164" ca="1" si="204">+AI154</f>
        <v>122.7546048711114</v>
      </c>
      <c r="BN154" s="15">
        <f t="shared" ca="1" si="185"/>
        <v>4.8101872801959296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115.44449472470231</v>
      </c>
      <c r="BS154" s="127">
        <f t="shared" ca="1" si="189"/>
        <v>4.5685631380159188</v>
      </c>
      <c r="BT154" s="127">
        <f t="shared" ca="1" si="202"/>
        <v>96.405488825159466</v>
      </c>
      <c r="BZ154" s="583">
        <f t="shared" si="190"/>
        <v>1</v>
      </c>
      <c r="CA154" s="121">
        <f t="shared" si="191"/>
        <v>44986</v>
      </c>
      <c r="CB154" s="127">
        <f t="shared" ca="1" si="192"/>
        <v>122.7546048711114</v>
      </c>
      <c r="CC154" s="15">
        <f t="shared" ca="1" si="193"/>
        <v>4.8101872801959296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115.44449472470231</v>
      </c>
      <c r="CH154" s="127">
        <f t="shared" ca="1" si="197"/>
        <v>4.6607667515917512</v>
      </c>
      <c r="CI154" s="127">
        <f t="shared" ca="1" si="203"/>
        <v>105.7171098508865</v>
      </c>
    </row>
    <row r="155" spans="24:87" x14ac:dyDescent="0.2">
      <c r="X155" s="121">
        <f t="shared" si="159"/>
        <v>45017</v>
      </c>
      <c r="Y155" s="73">
        <f t="shared" ca="1" si="159"/>
        <v>118.6059679653001</v>
      </c>
      <c r="Z155" s="15">
        <f t="shared" ca="1" si="160"/>
        <v>4.7758068054097533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119.39517013524383</v>
      </c>
      <c r="AE155" s="127">
        <f t="shared" ca="1" si="164"/>
        <v>4.6624908750402403</v>
      </c>
      <c r="AF155" s="127">
        <f t="shared" ca="1" si="165"/>
        <v>105.89953641665663</v>
      </c>
      <c r="AH155" s="121">
        <f t="shared" si="154"/>
        <v>45017</v>
      </c>
      <c r="AI155" s="73">
        <f t="shared" ca="1" si="166"/>
        <v>123.9240819946706</v>
      </c>
      <c r="AJ155" s="15">
        <f t="shared" ca="1" si="167"/>
        <v>4.8196691361299209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120.49172840324802</v>
      </c>
      <c r="AO155" s="127">
        <f t="shared" ca="1" si="171"/>
        <v>4.6665250274341572</v>
      </c>
      <c r="AP155" s="127">
        <f t="shared" ca="1" si="198"/>
        <v>106.3276141698947</v>
      </c>
      <c r="AR155" s="121">
        <f t="shared" si="172"/>
        <v>45017</v>
      </c>
      <c r="AS155" s="73">
        <f t="shared" ca="1" si="199"/>
        <v>123.9240819946706</v>
      </c>
      <c r="AT155" s="15">
        <f t="shared" ca="1" si="173"/>
        <v>4.8196691361299209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120.49172840324802</v>
      </c>
      <c r="AY155" s="127">
        <f t="shared" ca="1" si="177"/>
        <v>4.6555681183623649</v>
      </c>
      <c r="AZ155" s="127">
        <f t="shared" ca="1" si="155"/>
        <v>105.16895144249325</v>
      </c>
      <c r="BB155" s="121">
        <f t="shared" si="178"/>
        <v>45017</v>
      </c>
      <c r="BC155" s="73">
        <f t="shared" ca="1" si="200"/>
        <v>123.9240819946706</v>
      </c>
      <c r="BD155" s="15">
        <f t="shared" ca="1" si="179"/>
        <v>4.8196691361299209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120.49172840324802</v>
      </c>
      <c r="BI155" s="127">
        <f t="shared" ca="1" si="183"/>
        <v>4.6659309937597877</v>
      </c>
      <c r="BJ155" s="127">
        <f t="shared" ca="1" si="201"/>
        <v>106.26447074308015</v>
      </c>
      <c r="BL155" s="121">
        <f t="shared" si="184"/>
        <v>45017</v>
      </c>
      <c r="BM155" s="73">
        <f ca="1">+AI155</f>
        <v>123.9240819946706</v>
      </c>
      <c r="BN155" s="15">
        <f t="shared" ca="1" si="185"/>
        <v>4.8196691361299209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120.49172840324802</v>
      </c>
      <c r="BS155" s="127">
        <f t="shared" ca="1" si="189"/>
        <v>4.5685631380159188</v>
      </c>
      <c r="BT155" s="127">
        <f t="shared" ca="1" si="202"/>
        <v>96.405488825159466</v>
      </c>
      <c r="BZ155" s="583">
        <f t="shared" si="190"/>
        <v>1</v>
      </c>
      <c r="CA155" s="121">
        <f t="shared" si="191"/>
        <v>45017</v>
      </c>
      <c r="CB155" s="127">
        <f t="shared" ca="1" si="192"/>
        <v>123.9240819946706</v>
      </c>
      <c r="CC155" s="15">
        <f t="shared" ca="1" si="193"/>
        <v>4.8196691361299209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120.49172840324802</v>
      </c>
      <c r="CH155" s="127">
        <f t="shared" ca="1" si="197"/>
        <v>4.6607667515917512</v>
      </c>
      <c r="CI155" s="127">
        <f t="shared" ca="1" si="203"/>
        <v>105.7171098508865</v>
      </c>
    </row>
    <row r="156" spans="24:87" x14ac:dyDescent="0.2">
      <c r="X156" s="121">
        <f t="shared" si="159"/>
        <v>45047</v>
      </c>
      <c r="Y156" s="73">
        <f t="shared" ca="1" si="159"/>
        <v>124.33723938124062</v>
      </c>
      <c r="Z156" s="15">
        <f t="shared" ca="1" si="160"/>
        <v>4.8229975464171471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125.39793620684583</v>
      </c>
      <c r="AE156" s="127">
        <f t="shared" ca="1" si="164"/>
        <v>4.6624908750402403</v>
      </c>
      <c r="AF156" s="127">
        <f t="shared" ca="1" si="165"/>
        <v>105.89953641665663</v>
      </c>
      <c r="AH156" s="121">
        <f t="shared" si="154"/>
        <v>45047</v>
      </c>
      <c r="AI156" s="73">
        <f t="shared" ca="1" si="166"/>
        <v>126.67694316641909</v>
      </c>
      <c r="AJ156" s="15">
        <f t="shared" ca="1" si="167"/>
        <v>4.8416400910226436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125.88264236658873</v>
      </c>
      <c r="AO156" s="127">
        <f t="shared" ca="1" si="171"/>
        <v>4.6665250274341572</v>
      </c>
      <c r="AP156" s="127">
        <f t="shared" ca="1" si="198"/>
        <v>106.3276141698947</v>
      </c>
      <c r="AR156" s="121">
        <f t="shared" si="172"/>
        <v>45047</v>
      </c>
      <c r="AS156" s="73">
        <f t="shared" ca="1" si="199"/>
        <v>126.67694316641909</v>
      </c>
      <c r="AT156" s="15">
        <f t="shared" ca="1" si="173"/>
        <v>4.8416400910226436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125.88264236658873</v>
      </c>
      <c r="AY156" s="127">
        <f t="shared" ca="1" si="177"/>
        <v>4.6555681183623649</v>
      </c>
      <c r="AZ156" s="127">
        <f t="shared" ca="1" si="155"/>
        <v>105.16895144249325</v>
      </c>
      <c r="BB156" s="121">
        <f t="shared" si="178"/>
        <v>45047</v>
      </c>
      <c r="BC156" s="73">
        <f t="shared" ca="1" si="200"/>
        <v>126.67694316641909</v>
      </c>
      <c r="BD156" s="15">
        <f t="shared" ca="1" si="179"/>
        <v>4.8416400910226436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125.88264236658873</v>
      </c>
      <c r="BI156" s="127">
        <f t="shared" ca="1" si="183"/>
        <v>4.6659309937597877</v>
      </c>
      <c r="BJ156" s="127">
        <f t="shared" ca="1" si="201"/>
        <v>106.26447074308015</v>
      </c>
      <c r="BL156" s="121">
        <f t="shared" si="184"/>
        <v>45047</v>
      </c>
      <c r="BM156" s="73">
        <f t="shared" ca="1" si="204"/>
        <v>126.67694316641909</v>
      </c>
      <c r="BN156" s="15">
        <f t="shared" ca="1" si="185"/>
        <v>4.8416400910226436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125.88264236658873</v>
      </c>
      <c r="BS156" s="127">
        <f t="shared" ca="1" si="189"/>
        <v>4.5685631380159188</v>
      </c>
      <c r="BT156" s="127">
        <f t="shared" ca="1" si="202"/>
        <v>96.405488825159466</v>
      </c>
      <c r="BZ156" s="583">
        <f t="shared" si="190"/>
        <v>1</v>
      </c>
      <c r="CA156" s="121">
        <f t="shared" si="191"/>
        <v>45047</v>
      </c>
      <c r="CB156" s="127">
        <f t="shared" ca="1" si="192"/>
        <v>126.67694316641909</v>
      </c>
      <c r="CC156" s="15">
        <f t="shared" ca="1" si="193"/>
        <v>4.8416400910226436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125.88264236658873</v>
      </c>
      <c r="CH156" s="127">
        <f t="shared" ca="1" si="197"/>
        <v>4.6607667515917512</v>
      </c>
      <c r="CI156" s="127">
        <f t="shared" ca="1" si="203"/>
        <v>105.7171098508865</v>
      </c>
    </row>
    <row r="157" spans="24:87" x14ac:dyDescent="0.2">
      <c r="X157" s="121">
        <f t="shared" si="159"/>
        <v>45078</v>
      </c>
      <c r="Y157" s="73">
        <f t="shared" ca="1" si="159"/>
        <v>126.52959469531471</v>
      </c>
      <c r="Z157" s="15">
        <f t="shared" ca="1" si="160"/>
        <v>4.840476230966094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130.69285823608453</v>
      </c>
      <c r="AE157" s="127">
        <f t="shared" ca="1" si="164"/>
        <v>4.6624908750402403</v>
      </c>
      <c r="AF157" s="127">
        <f t="shared" ca="1" si="165"/>
        <v>105.89953641665663</v>
      </c>
      <c r="AH157" s="121">
        <f t="shared" si="154"/>
        <v>45078</v>
      </c>
      <c r="AI157" s="73">
        <f t="shared" ca="1" si="166"/>
        <v>125.96616974760786</v>
      </c>
      <c r="AJ157" s="15">
        <f t="shared" ca="1" si="167"/>
        <v>4.8360133768338889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130.57236117451501</v>
      </c>
      <c r="AO157" s="127">
        <f t="shared" ca="1" si="171"/>
        <v>4.6665250274341572</v>
      </c>
      <c r="AP157" s="127">
        <f t="shared" ca="1" si="198"/>
        <v>106.3276141698947</v>
      </c>
      <c r="AR157" s="121">
        <f t="shared" si="172"/>
        <v>45078</v>
      </c>
      <c r="AS157" s="73">
        <f t="shared" ca="1" si="199"/>
        <v>125.96616974760786</v>
      </c>
      <c r="AT157" s="15">
        <f t="shared" ca="1" si="173"/>
        <v>4.8360133768338889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130.57236117451501</v>
      </c>
      <c r="AY157" s="127">
        <f t="shared" ca="1" si="177"/>
        <v>4.6555681183623649</v>
      </c>
      <c r="AZ157" s="127">
        <f t="shared" ca="1" si="155"/>
        <v>105.16895144249325</v>
      </c>
      <c r="BB157" s="121">
        <f t="shared" si="178"/>
        <v>45078</v>
      </c>
      <c r="BC157" s="73">
        <f t="shared" ca="1" si="200"/>
        <v>125.96616974760786</v>
      </c>
      <c r="BD157" s="15">
        <f t="shared" ca="1" si="179"/>
        <v>4.8360133768338889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130.57236117451501</v>
      </c>
      <c r="BI157" s="127">
        <f t="shared" ca="1" si="183"/>
        <v>4.6659309937597877</v>
      </c>
      <c r="BJ157" s="127">
        <f t="shared" ca="1" si="201"/>
        <v>106.26447074308015</v>
      </c>
      <c r="BL157" s="121">
        <f t="shared" si="184"/>
        <v>45078</v>
      </c>
      <c r="BM157" s="73">
        <f t="shared" ca="1" si="204"/>
        <v>125.96616974760786</v>
      </c>
      <c r="BN157" s="15">
        <f t="shared" ca="1" si="185"/>
        <v>4.8360133768338889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130.57236117451501</v>
      </c>
      <c r="BS157" s="127">
        <f t="shared" ca="1" si="189"/>
        <v>4.5685631380159188</v>
      </c>
      <c r="BT157" s="127">
        <f t="shared" ca="1" si="202"/>
        <v>96.405488825159466</v>
      </c>
      <c r="BZ157" s="583">
        <f t="shared" si="190"/>
        <v>1</v>
      </c>
      <c r="CA157" s="121">
        <f t="shared" si="191"/>
        <v>45078</v>
      </c>
      <c r="CB157" s="127">
        <f t="shared" ca="1" si="192"/>
        <v>125.96616974760786</v>
      </c>
      <c r="CC157" s="15">
        <f t="shared" ca="1" si="193"/>
        <v>4.8360133768338889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130.57236117451501</v>
      </c>
      <c r="CH157" s="127">
        <f t="shared" ca="1" si="197"/>
        <v>4.6607667515917512</v>
      </c>
      <c r="CI157" s="127">
        <f t="shared" ca="1" si="203"/>
        <v>105.7171098508865</v>
      </c>
    </row>
    <row r="158" spans="24:87" x14ac:dyDescent="0.2">
      <c r="X158" s="121">
        <f t="shared" si="159"/>
        <v>45108</v>
      </c>
      <c r="Y158" s="73">
        <f t="shared" ca="1" si="159"/>
        <v>123.03063866882034</v>
      </c>
      <c r="Z158" s="15">
        <f t="shared" ca="1" si="160"/>
        <v>4.8124334192219003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134.74813573821319</v>
      </c>
      <c r="AE158" s="127">
        <f t="shared" ca="1" si="164"/>
        <v>4.6624908750402403</v>
      </c>
      <c r="AF158" s="127">
        <f t="shared" ca="1" si="165"/>
        <v>105.89953641665663</v>
      </c>
      <c r="AH158" s="121">
        <f t="shared" si="154"/>
        <v>45108</v>
      </c>
      <c r="AI158" s="73">
        <f t="shared" ca="1" si="166"/>
        <v>131.05151867310096</v>
      </c>
      <c r="AJ158" s="15">
        <f t="shared" ca="1" si="167"/>
        <v>4.8755905182036114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136.51653450970113</v>
      </c>
      <c r="AO158" s="127">
        <f t="shared" ca="1" si="171"/>
        <v>4.6665250274341572</v>
      </c>
      <c r="AP158" s="127">
        <f t="shared" ca="1" si="198"/>
        <v>106.3276141698947</v>
      </c>
      <c r="AR158" s="121">
        <f t="shared" si="172"/>
        <v>45108</v>
      </c>
      <c r="AS158" s="73">
        <f t="shared" ca="1" si="199"/>
        <v>131.05151867310096</v>
      </c>
      <c r="AT158" s="15">
        <f t="shared" ca="1" si="173"/>
        <v>4.8755905182036114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136.51653450970113</v>
      </c>
      <c r="AY158" s="127">
        <f t="shared" ca="1" si="177"/>
        <v>4.6555681183623649</v>
      </c>
      <c r="AZ158" s="127">
        <f t="shared" ca="1" si="155"/>
        <v>105.16895144249325</v>
      </c>
      <c r="BB158" s="121">
        <f t="shared" si="178"/>
        <v>45108</v>
      </c>
      <c r="BC158" s="73">
        <f t="shared" ca="1" si="200"/>
        <v>131.05151867310096</v>
      </c>
      <c r="BD158" s="15">
        <f t="shared" ca="1" si="179"/>
        <v>4.8755905182036114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136.51653450970113</v>
      </c>
      <c r="BI158" s="127">
        <f t="shared" ca="1" si="183"/>
        <v>4.6659309937597877</v>
      </c>
      <c r="BJ158" s="127">
        <f t="shared" ca="1" si="201"/>
        <v>106.26447074308015</v>
      </c>
      <c r="BL158" s="121">
        <f t="shared" si="184"/>
        <v>45108</v>
      </c>
      <c r="BM158" s="73">
        <f t="shared" ca="1" si="204"/>
        <v>131.05151867310096</v>
      </c>
      <c r="BN158" s="15">
        <f t="shared" ca="1" si="185"/>
        <v>4.8755905182036114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136.51653450970113</v>
      </c>
      <c r="BS158" s="127">
        <f t="shared" ca="1" si="189"/>
        <v>4.5685631380159188</v>
      </c>
      <c r="BT158" s="127">
        <f t="shared" ca="1" si="202"/>
        <v>96.405488825159466</v>
      </c>
      <c r="BZ158" s="583">
        <f t="shared" si="190"/>
        <v>1</v>
      </c>
      <c r="CA158" s="121">
        <f t="shared" si="191"/>
        <v>45108</v>
      </c>
      <c r="CB158" s="127">
        <f t="shared" ca="1" si="192"/>
        <v>131.05151867310096</v>
      </c>
      <c r="CC158" s="15">
        <f t="shared" ca="1" si="193"/>
        <v>4.8755905182036114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136.51653450970113</v>
      </c>
      <c r="CH158" s="127">
        <f t="shared" ca="1" si="197"/>
        <v>4.6607667515917512</v>
      </c>
      <c r="CI158" s="127">
        <f t="shared" ca="1" si="203"/>
        <v>105.7171098508865</v>
      </c>
    </row>
    <row r="159" spans="24:87" x14ac:dyDescent="0.2">
      <c r="X159" s="121">
        <f t="shared" si="159"/>
        <v>45139</v>
      </c>
      <c r="Y159" s="73">
        <f t="shared" ca="1" si="159"/>
        <v>133.99423057285816</v>
      </c>
      <c r="Z159" s="15">
        <f t="shared" ca="1" si="160"/>
        <v>4.897796743597568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142.03610556432946</v>
      </c>
      <c r="AE159" s="127">
        <f t="shared" ca="1" si="164"/>
        <v>4.6624908750402403</v>
      </c>
      <c r="AF159" s="127">
        <f t="shared" ca="1" si="165"/>
        <v>105.89953641665663</v>
      </c>
      <c r="AH159" s="121">
        <f t="shared" si="154"/>
        <v>45139</v>
      </c>
      <c r="AI159" s="73">
        <f t="shared" ca="1" si="166"/>
        <v>134.25441945718367</v>
      </c>
      <c r="AJ159" s="15">
        <f t="shared" ca="1" si="167"/>
        <v>4.8997366524537176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142.09236292115781</v>
      </c>
      <c r="AO159" s="127">
        <f t="shared" ca="1" si="171"/>
        <v>4.6665250274341572</v>
      </c>
      <c r="AP159" s="127">
        <f t="shared" ca="1" si="198"/>
        <v>106.3276141698947</v>
      </c>
      <c r="AR159" s="121">
        <f t="shared" si="172"/>
        <v>45139</v>
      </c>
      <c r="AS159" s="73">
        <f t="shared" ca="1" si="199"/>
        <v>134.25441945718367</v>
      </c>
      <c r="AT159" s="15">
        <f t="shared" ca="1" si="173"/>
        <v>4.8997366524537176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142.09236292115781</v>
      </c>
      <c r="AY159" s="127">
        <f t="shared" ca="1" si="177"/>
        <v>4.6555681183623649</v>
      </c>
      <c r="AZ159" s="127">
        <f t="shared" ca="1" si="155"/>
        <v>105.16895144249325</v>
      </c>
      <c r="BB159" s="121">
        <f t="shared" si="178"/>
        <v>45139</v>
      </c>
      <c r="BC159" s="73">
        <f t="shared" ca="1" si="200"/>
        <v>134.25441945718367</v>
      </c>
      <c r="BD159" s="15">
        <f t="shared" ca="1" si="179"/>
        <v>4.8997366524537176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142.09236292115781</v>
      </c>
      <c r="BI159" s="127">
        <f t="shared" ca="1" si="183"/>
        <v>4.6659309937597877</v>
      </c>
      <c r="BJ159" s="127">
        <f t="shared" ca="1" si="201"/>
        <v>106.26447074308015</v>
      </c>
      <c r="BL159" s="121">
        <f t="shared" si="184"/>
        <v>45139</v>
      </c>
      <c r="BM159" s="73">
        <f t="shared" ca="1" si="204"/>
        <v>134.25441945718367</v>
      </c>
      <c r="BN159" s="15">
        <f t="shared" ca="1" si="185"/>
        <v>4.8997366524537176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142.09236292115781</v>
      </c>
      <c r="BS159" s="127">
        <f t="shared" ca="1" si="189"/>
        <v>4.5685631380159188</v>
      </c>
      <c r="BT159" s="127">
        <f t="shared" ca="1" si="202"/>
        <v>96.405488825159466</v>
      </c>
      <c r="BZ159" s="583">
        <f t="shared" si="190"/>
        <v>1</v>
      </c>
      <c r="CA159" s="121">
        <f t="shared" si="191"/>
        <v>45139</v>
      </c>
      <c r="CB159" s="127">
        <f t="shared" ca="1" si="192"/>
        <v>134.25441945718367</v>
      </c>
      <c r="CC159" s="15">
        <f t="shared" ca="1" si="193"/>
        <v>4.8997366524537176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142.09236292115781</v>
      </c>
      <c r="CH159" s="127">
        <f t="shared" ca="1" si="197"/>
        <v>4.6607667515917512</v>
      </c>
      <c r="CI159" s="127">
        <f t="shared" ca="1" si="203"/>
        <v>105.7171098508865</v>
      </c>
    </row>
    <row r="160" spans="24:87" x14ac:dyDescent="0.2">
      <c r="X160" s="121">
        <f t="shared" si="159"/>
        <v>45170</v>
      </c>
      <c r="Y160" s="73">
        <f t="shared" ca="1" si="159"/>
        <v>129.29934720211332</v>
      </c>
      <c r="Z160" s="15">
        <f t="shared" ca="1" si="160"/>
        <v>4.8621302370575137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145.86390711172541</v>
      </c>
      <c r="AE160" s="127">
        <f t="shared" ca="1" si="164"/>
        <v>4.6624908750402403</v>
      </c>
      <c r="AF160" s="127">
        <f t="shared" ca="1" si="165"/>
        <v>105.89953641665663</v>
      </c>
      <c r="AH160" s="121">
        <f t="shared" si="154"/>
        <v>45170</v>
      </c>
      <c r="AI160" s="73">
        <f t="shared" ca="1" si="166"/>
        <v>135.2651104859097</v>
      </c>
      <c r="AJ160" s="15">
        <f t="shared" ca="1" si="167"/>
        <v>4.9072366341175773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147.21709902352731</v>
      </c>
      <c r="AO160" s="127">
        <f t="shared" ca="1" si="171"/>
        <v>4.6665250274341572</v>
      </c>
      <c r="AP160" s="127">
        <f t="shared" ca="1" si="198"/>
        <v>106.3276141698947</v>
      </c>
      <c r="AR160" s="121">
        <f t="shared" si="172"/>
        <v>45170</v>
      </c>
      <c r="AS160" s="73">
        <f t="shared" ca="1" si="199"/>
        <v>135.2651104859097</v>
      </c>
      <c r="AT160" s="15">
        <f t="shared" ca="1" si="173"/>
        <v>4.9072366341175773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147.21709902352731</v>
      </c>
      <c r="AY160" s="127">
        <f t="shared" ca="1" si="177"/>
        <v>4.6555681183623649</v>
      </c>
      <c r="AZ160" s="127">
        <f t="shared" ca="1" si="155"/>
        <v>105.16895144249325</v>
      </c>
      <c r="BB160" s="121">
        <f t="shared" si="178"/>
        <v>45170</v>
      </c>
      <c r="BC160" s="73">
        <f t="shared" ca="1" si="200"/>
        <v>135.2651104859097</v>
      </c>
      <c r="BD160" s="15">
        <f t="shared" ca="1" si="179"/>
        <v>4.9072366341175773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147.21709902352731</v>
      </c>
      <c r="BI160" s="127">
        <f t="shared" ca="1" si="183"/>
        <v>4.6659309937597877</v>
      </c>
      <c r="BJ160" s="127">
        <f t="shared" ca="1" si="201"/>
        <v>106.26447074308015</v>
      </c>
      <c r="BL160" s="121">
        <f t="shared" si="184"/>
        <v>45170</v>
      </c>
      <c r="BM160" s="73">
        <f t="shared" ca="1" si="204"/>
        <v>135.2651104859097</v>
      </c>
      <c r="BN160" s="15">
        <f t="shared" ca="1" si="185"/>
        <v>4.9072366341175773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147.21709902352731</v>
      </c>
      <c r="BS160" s="127">
        <f t="shared" ca="1" si="189"/>
        <v>4.5685631380159188</v>
      </c>
      <c r="BT160" s="127">
        <f t="shared" ca="1" si="202"/>
        <v>96.405488825159466</v>
      </c>
      <c r="BZ160" s="583">
        <f t="shared" si="190"/>
        <v>1</v>
      </c>
      <c r="CA160" s="121">
        <f t="shared" si="191"/>
        <v>45170</v>
      </c>
      <c r="CB160" s="127">
        <f t="shared" ca="1" si="192"/>
        <v>135.2651104859097</v>
      </c>
      <c r="CC160" s="15">
        <f t="shared" ca="1" si="193"/>
        <v>4.9072366341175773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147.21709902352731</v>
      </c>
      <c r="CH160" s="127">
        <f t="shared" ca="1" si="197"/>
        <v>4.6607667515917512</v>
      </c>
      <c r="CI160" s="127">
        <f t="shared" ca="1" si="203"/>
        <v>105.7171098508865</v>
      </c>
    </row>
    <row r="161" spans="24:87" x14ac:dyDescent="0.2">
      <c r="X161" s="121">
        <f t="shared" si="159"/>
        <v>45200</v>
      </c>
      <c r="Y161" s="73">
        <f t="shared" ca="1" si="159"/>
        <v>149.11806151825849</v>
      </c>
      <c r="Z161" s="15">
        <f t="shared" ca="1" si="160"/>
        <v>5.0047383513775889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155.14688889270525</v>
      </c>
      <c r="AE161" s="127">
        <f t="shared" ca="1" si="164"/>
        <v>4.6624908750402403</v>
      </c>
      <c r="AF161" s="127">
        <f t="shared" ca="1" si="165"/>
        <v>105.89953641665663</v>
      </c>
      <c r="AH161" s="121">
        <f t="shared" si="154"/>
        <v>45200</v>
      </c>
      <c r="AI161" s="73">
        <f t="shared" ca="1" si="166"/>
        <v>135.92826484381277</v>
      </c>
      <c r="AJ161" s="15">
        <f t="shared" ca="1" si="167"/>
        <v>4.9121272821940485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152.27594574801552</v>
      </c>
      <c r="AO161" s="127">
        <f t="shared" ca="1" si="171"/>
        <v>4.6665250274341572</v>
      </c>
      <c r="AP161" s="127">
        <f t="shared" ca="1" si="198"/>
        <v>106.3276141698947</v>
      </c>
      <c r="AR161" s="121">
        <f t="shared" si="172"/>
        <v>45200</v>
      </c>
      <c r="AS161" s="73">
        <f t="shared" ca="1" si="199"/>
        <v>135.92826484381277</v>
      </c>
      <c r="AT161" s="15">
        <f t="shared" ca="1" si="173"/>
        <v>4.9121272821940485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152.27594574801552</v>
      </c>
      <c r="AY161" s="127">
        <f t="shared" ca="1" si="177"/>
        <v>4.6555681183623649</v>
      </c>
      <c r="AZ161" s="127">
        <f t="shared" ca="1" si="155"/>
        <v>105.16895144249325</v>
      </c>
      <c r="BB161" s="121">
        <f t="shared" si="178"/>
        <v>45200</v>
      </c>
      <c r="BC161" s="73">
        <f t="shared" ca="1" si="200"/>
        <v>135.92826484381277</v>
      </c>
      <c r="BD161" s="15">
        <f t="shared" ca="1" si="179"/>
        <v>4.9121272821940485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152.27594574801552</v>
      </c>
      <c r="BI161" s="127">
        <f t="shared" ca="1" si="183"/>
        <v>4.6659309937597877</v>
      </c>
      <c r="BJ161" s="127">
        <f t="shared" ca="1" si="201"/>
        <v>106.26447074308015</v>
      </c>
      <c r="BL161" s="121">
        <f t="shared" si="184"/>
        <v>45200</v>
      </c>
      <c r="BM161" s="73">
        <f t="shared" ca="1" si="204"/>
        <v>135.92826484381277</v>
      </c>
      <c r="BN161" s="15">
        <f t="shared" ca="1" si="185"/>
        <v>4.9121272821940485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152.27594574801552</v>
      </c>
      <c r="BS161" s="127">
        <f t="shared" ca="1" si="189"/>
        <v>4.5685631380159188</v>
      </c>
      <c r="BT161" s="127">
        <f t="shared" ca="1" si="202"/>
        <v>96.405488825159466</v>
      </c>
      <c r="BZ161" s="583">
        <f t="shared" si="190"/>
        <v>1</v>
      </c>
      <c r="CA161" s="121">
        <f t="shared" si="191"/>
        <v>45200</v>
      </c>
      <c r="CB161" s="127">
        <f t="shared" ca="1" si="192"/>
        <v>135.92826484381277</v>
      </c>
      <c r="CC161" s="15">
        <f t="shared" ca="1" si="193"/>
        <v>4.9121272821940485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152.27594574801552</v>
      </c>
      <c r="CH161" s="127">
        <f t="shared" ca="1" si="197"/>
        <v>4.6607667515917512</v>
      </c>
      <c r="CI161" s="127">
        <f t="shared" ca="1" si="203"/>
        <v>105.7171098508865</v>
      </c>
    </row>
    <row r="162" spans="24:87" x14ac:dyDescent="0.2">
      <c r="X162" s="121">
        <f t="shared" si="159"/>
        <v>45231</v>
      </c>
      <c r="Y162" s="73">
        <f t="shared" ca="1" si="159"/>
        <v>143.55464408573698</v>
      </c>
      <c r="Z162" s="15">
        <f t="shared" ca="1" si="160"/>
        <v>4.9667157577382088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158.93490424762268</v>
      </c>
      <c r="AE162" s="127">
        <f t="shared" ca="1" si="164"/>
        <v>4.6624908750402403</v>
      </c>
      <c r="AF162" s="127">
        <f t="shared" ca="1" si="165"/>
        <v>105.89953641665663</v>
      </c>
      <c r="AH162" s="121">
        <f t="shared" si="154"/>
        <v>45231</v>
      </c>
      <c r="AI162" s="73">
        <f t="shared" ca="1" si="166"/>
        <v>133.55976352215552</v>
      </c>
      <c r="AJ162" s="15">
        <f t="shared" ca="1" si="167"/>
        <v>4.8945490445000281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156.6255694240009</v>
      </c>
      <c r="AO162" s="127">
        <f t="shared" ca="1" si="171"/>
        <v>4.6665250274341572</v>
      </c>
      <c r="AP162" s="127">
        <f t="shared" ca="1" si="198"/>
        <v>106.3276141698947</v>
      </c>
      <c r="AR162" s="121">
        <f t="shared" si="172"/>
        <v>45231</v>
      </c>
      <c r="AS162" s="73">
        <f t="shared" ca="1" si="199"/>
        <v>133.55976352215552</v>
      </c>
      <c r="AT162" s="15">
        <f t="shared" ca="1" si="173"/>
        <v>4.8945490445000281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156.6255694240009</v>
      </c>
      <c r="AY162" s="127">
        <f t="shared" ca="1" si="177"/>
        <v>4.6555681183623649</v>
      </c>
      <c r="AZ162" s="127">
        <f t="shared" ca="1" si="155"/>
        <v>105.16895144249325</v>
      </c>
      <c r="BB162" s="121">
        <f t="shared" si="178"/>
        <v>45231</v>
      </c>
      <c r="BC162" s="73">
        <f t="shared" ca="1" si="200"/>
        <v>133.55976352215552</v>
      </c>
      <c r="BD162" s="15">
        <f t="shared" ca="1" si="179"/>
        <v>4.8945490445000281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156.6255694240009</v>
      </c>
      <c r="BI162" s="127">
        <f t="shared" ca="1" si="183"/>
        <v>4.6659309937597877</v>
      </c>
      <c r="BJ162" s="127">
        <f t="shared" ca="1" si="201"/>
        <v>106.26447074308015</v>
      </c>
      <c r="BL162" s="121">
        <f t="shared" si="184"/>
        <v>45231</v>
      </c>
      <c r="BM162" s="73">
        <f t="shared" ca="1" si="204"/>
        <v>133.55976352215552</v>
      </c>
      <c r="BN162" s="15">
        <f t="shared" ca="1" si="185"/>
        <v>4.8945490445000281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156.6255694240009</v>
      </c>
      <c r="BS162" s="127">
        <f t="shared" ca="1" si="189"/>
        <v>4.5685631380159188</v>
      </c>
      <c r="BT162" s="127">
        <f t="shared" ca="1" si="202"/>
        <v>96.405488825159466</v>
      </c>
      <c r="BZ162" s="583">
        <f t="shared" si="190"/>
        <v>0</v>
      </c>
      <c r="CA162" s="121">
        <f t="shared" si="191"/>
        <v>45231</v>
      </c>
      <c r="CB162" s="127">
        <f t="shared" ca="1" si="192"/>
        <v>0</v>
      </c>
      <c r="CC162" s="15">
        <f t="shared" ca="1" si="193"/>
        <v>0</v>
      </c>
      <c r="CD162" s="98">
        <f t="shared" ca="1" si="194"/>
        <v>0</v>
      </c>
      <c r="CE162" s="128">
        <f ca="1">IF(CD162&gt;0,32,0)</f>
        <v>0</v>
      </c>
      <c r="CF162" s="128">
        <f t="shared" ca="1" si="195"/>
        <v>0</v>
      </c>
      <c r="CG162" s="15">
        <f t="shared" ca="1" si="196"/>
        <v>0</v>
      </c>
      <c r="CH162" s="127">
        <f t="shared" ca="1" si="197"/>
        <v>4.6607667515917512</v>
      </c>
      <c r="CI162" s="127">
        <f t="shared" ca="1" si="203"/>
        <v>105.7171098508865</v>
      </c>
    </row>
    <row r="163" spans="24:87" x14ac:dyDescent="0.2">
      <c r="X163" s="121">
        <f t="shared" si="159"/>
        <v>45261</v>
      </c>
      <c r="Y163" s="73">
        <f t="shared" ca="1" si="159"/>
        <v>132.5937408676709</v>
      </c>
      <c r="Z163" s="15">
        <f t="shared" ca="1" si="160"/>
        <v>4.8872898735280899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161.28056582642697</v>
      </c>
      <c r="AE163" s="127">
        <f t="shared" ca="1" si="164"/>
        <v>4.6624908750402403</v>
      </c>
      <c r="AF163" s="127">
        <f t="shared" ca="1" si="165"/>
        <v>105.89953641665663</v>
      </c>
      <c r="AH163" s="121">
        <f t="shared" si="154"/>
        <v>45261</v>
      </c>
      <c r="AI163" s="73">
        <f t="shared" ca="1" si="166"/>
        <v>135.30653888416967</v>
      </c>
      <c r="AJ163" s="15">
        <f t="shared" ca="1" si="167"/>
        <v>4.9075428627906863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161.94891447209264</v>
      </c>
      <c r="AO163" s="127">
        <f t="shared" ca="1" si="171"/>
        <v>4.6665250274341572</v>
      </c>
      <c r="AP163" s="127">
        <f t="shared" ca="1" si="198"/>
        <v>106.3276141698947</v>
      </c>
      <c r="AR163" s="121">
        <f t="shared" si="172"/>
        <v>45261</v>
      </c>
      <c r="AS163" s="73">
        <f t="shared" ca="1" si="199"/>
        <v>135.30653888416967</v>
      </c>
      <c r="AT163" s="15">
        <f t="shared" ca="1" si="173"/>
        <v>4.9075428627906863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161.94891447209264</v>
      </c>
      <c r="AY163" s="127">
        <f t="shared" ca="1" si="177"/>
        <v>4.6555681183623649</v>
      </c>
      <c r="AZ163" s="127">
        <f t="shared" ca="1" si="155"/>
        <v>105.16895144249325</v>
      </c>
      <c r="BB163" s="121">
        <f t="shared" si="178"/>
        <v>45261</v>
      </c>
      <c r="BC163" s="73">
        <f t="shared" ca="1" si="200"/>
        <v>135.30653888416967</v>
      </c>
      <c r="BD163" s="15">
        <f t="shared" ca="1" si="179"/>
        <v>4.9075428627906863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161.94891447209264</v>
      </c>
      <c r="BI163" s="127">
        <f t="shared" ca="1" si="183"/>
        <v>4.6659309937597877</v>
      </c>
      <c r="BJ163" s="127">
        <f t="shared" ca="1" si="201"/>
        <v>106.26447074308015</v>
      </c>
      <c r="BL163" s="121">
        <f t="shared" si="184"/>
        <v>45261</v>
      </c>
      <c r="BM163" s="73">
        <f t="shared" ca="1" si="204"/>
        <v>135.30653888416967</v>
      </c>
      <c r="BN163" s="15">
        <f t="shared" ca="1" si="185"/>
        <v>4.9075428627906863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161.94891447209264</v>
      </c>
      <c r="BS163" s="127">
        <f t="shared" ca="1" si="189"/>
        <v>4.5685631380159188</v>
      </c>
      <c r="BT163" s="127">
        <f t="shared" ca="1" si="202"/>
        <v>96.405488825159466</v>
      </c>
      <c r="BZ163" s="583">
        <f t="shared" si="190"/>
        <v>0</v>
      </c>
      <c r="CA163" s="121">
        <f t="shared" si="191"/>
        <v>45261</v>
      </c>
      <c r="CB163" s="127">
        <f t="shared" ca="1" si="192"/>
        <v>0</v>
      </c>
      <c r="CC163" s="15">
        <f t="shared" ca="1" si="193"/>
        <v>0</v>
      </c>
      <c r="CD163" s="98">
        <f t="shared" ca="1" si="194"/>
        <v>0</v>
      </c>
      <c r="CE163" s="128">
        <f ca="1">IF(CD163&gt;0,33,0)</f>
        <v>0</v>
      </c>
      <c r="CF163" s="128">
        <f t="shared" ca="1" si="195"/>
        <v>0</v>
      </c>
      <c r="CG163" s="15">
        <f t="shared" ca="1" si="196"/>
        <v>0</v>
      </c>
      <c r="CH163" s="127">
        <f t="shared" ca="1" si="197"/>
        <v>4.6607667515917512</v>
      </c>
      <c r="CI163" s="127">
        <f t="shared" ca="1" si="203"/>
        <v>105.7171098508865</v>
      </c>
    </row>
    <row r="164" spans="24:87" x14ac:dyDescent="0.2">
      <c r="X164" s="121">
        <f t="shared" si="159"/>
        <v>45292</v>
      </c>
      <c r="Y164" s="73">
        <f t="shared" ca="1" si="159"/>
        <v>127.00956481623867</v>
      </c>
      <c r="Z164" s="15">
        <f t="shared" ca="1" si="160"/>
        <v>4.8442623971363616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164.7049215026363</v>
      </c>
      <c r="AE164" s="127">
        <f t="shared" ca="1" si="164"/>
        <v>4.6624908750402403</v>
      </c>
      <c r="AF164" s="127">
        <f t="shared" ca="1" si="165"/>
        <v>105.89953641665663</v>
      </c>
      <c r="AH164" s="121">
        <f t="shared" si="154"/>
        <v>45292</v>
      </c>
      <c r="AI164" s="73">
        <f t="shared" ca="1" si="166"/>
        <v>132.54423435735191</v>
      </c>
      <c r="AJ164" s="15">
        <f t="shared" ca="1" si="167"/>
        <v>4.8869164339191284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166.15515875325036</v>
      </c>
      <c r="AO164" s="127">
        <f t="shared" ca="1" si="171"/>
        <v>4.6665250274341572</v>
      </c>
      <c r="AP164" s="127">
        <f t="shared" ca="1" si="198"/>
        <v>106.3276141698947</v>
      </c>
      <c r="AR164" s="121">
        <f t="shared" si="172"/>
        <v>45292</v>
      </c>
      <c r="AS164" s="73">
        <f t="shared" ca="1" si="199"/>
        <v>132.54423435735191</v>
      </c>
      <c r="AT164" s="15">
        <f t="shared" ca="1" si="173"/>
        <v>4.8869164339191284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166.15515875325036</v>
      </c>
      <c r="AY164" s="127">
        <f t="shared" ca="1" si="177"/>
        <v>4.6555681183623649</v>
      </c>
      <c r="AZ164" s="127">
        <f t="shared" ca="1" si="155"/>
        <v>105.16895144249325</v>
      </c>
      <c r="BB164" s="121">
        <f t="shared" si="178"/>
        <v>45292</v>
      </c>
      <c r="BC164" s="73">
        <f t="shared" ca="1" si="200"/>
        <v>132.54423435735191</v>
      </c>
      <c r="BD164" s="15">
        <f t="shared" ca="1" si="179"/>
        <v>4.8869164339191284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166.15515875325036</v>
      </c>
      <c r="BI164" s="127">
        <f t="shared" ca="1" si="183"/>
        <v>4.6659309937597877</v>
      </c>
      <c r="BJ164" s="127">
        <f t="shared" ca="1" si="201"/>
        <v>106.26447074308015</v>
      </c>
      <c r="BL164" s="121">
        <f t="shared" si="184"/>
        <v>45292</v>
      </c>
      <c r="BM164" s="73">
        <f t="shared" ca="1" si="204"/>
        <v>132.54423435735191</v>
      </c>
      <c r="BN164" s="15">
        <f t="shared" ca="1" si="185"/>
        <v>4.8869164339191284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166.15515875325036</v>
      </c>
      <c r="BS164" s="127">
        <f t="shared" ca="1" si="189"/>
        <v>4.5685631380159188</v>
      </c>
      <c r="BT164" s="127">
        <f t="shared" ca="1" si="202"/>
        <v>96.405488825159466</v>
      </c>
      <c r="BZ164" s="583">
        <f t="shared" si="190"/>
        <v>0</v>
      </c>
      <c r="CA164" s="121">
        <f t="shared" si="191"/>
        <v>45292</v>
      </c>
      <c r="CB164" s="127">
        <f t="shared" ca="1" si="192"/>
        <v>0</v>
      </c>
      <c r="CC164" s="15">
        <f t="shared" ca="1" si="193"/>
        <v>0</v>
      </c>
      <c r="CD164" s="98">
        <f t="shared" ca="1" si="194"/>
        <v>0</v>
      </c>
      <c r="CE164" s="128">
        <f ca="1">IF(CD164&gt;0,34,0)</f>
        <v>0</v>
      </c>
      <c r="CF164" s="128">
        <f t="shared" ca="1" si="195"/>
        <v>0</v>
      </c>
      <c r="CG164" s="15">
        <f t="shared" ca="1" si="196"/>
        <v>0</v>
      </c>
      <c r="CH164" s="127">
        <f t="shared" ca="1" si="197"/>
        <v>4.6607667515917512</v>
      </c>
      <c r="CI164" s="127">
        <f t="shared" ca="1" si="203"/>
        <v>105.7171098508865</v>
      </c>
    </row>
    <row r="165" spans="24:87" x14ac:dyDescent="0.2">
      <c r="X165" s="121">
        <f t="shared" si="159"/>
        <v>45323</v>
      </c>
      <c r="Y165" s="73">
        <f t="shared" ca="1" si="159"/>
        <v>119.78322264291478</v>
      </c>
      <c r="Z165" s="15">
        <f t="shared" ca="1" si="160"/>
        <v>4.7856836311572666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167.49892709050434</v>
      </c>
      <c r="AE165" s="127">
        <f t="shared" ca="1" si="164"/>
        <v>4.6624908750402403</v>
      </c>
      <c r="AF165" s="127">
        <f t="shared" ca="1" si="165"/>
        <v>105.89953641665663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4.6665250274341572</v>
      </c>
      <c r="AP165" s="127">
        <f t="shared" ca="1" si="198"/>
        <v>106.3276141698947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4.6555681183623649</v>
      </c>
      <c r="AZ165" s="127">
        <f t="shared" ca="1" si="155"/>
        <v>105.16895144249325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4.6659309937597877</v>
      </c>
      <c r="BJ165" s="127">
        <f t="shared" ca="1" si="201"/>
        <v>106.26447074308015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4.5685631380159188</v>
      </c>
      <c r="BT165" s="127">
        <f t="shared" ca="1" si="202"/>
        <v>96.405488825159466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4.6607667515917512</v>
      </c>
      <c r="CI165" s="127">
        <f t="shared" ca="1" si="203"/>
        <v>105.7171098508865</v>
      </c>
    </row>
    <row r="166" spans="24:87" x14ac:dyDescent="0.2">
      <c r="X166" s="121">
        <f t="shared" si="159"/>
        <v>45352</v>
      </c>
      <c r="Y166" s="73">
        <f t="shared" ca="1" si="159"/>
        <v>139.77999937419818</v>
      </c>
      <c r="Z166" s="15">
        <f t="shared" ca="1" si="160"/>
        <v>4.9400697535719349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177.84251112858965</v>
      </c>
      <c r="AE166" s="127">
        <f t="shared" ca="1" si="164"/>
        <v>4.6624908750402403</v>
      </c>
      <c r="AF166" s="127">
        <f t="shared" ca="1" si="165"/>
        <v>105.89953641665663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4.6665250274341572</v>
      </c>
      <c r="AP166" s="127">
        <f t="shared" ca="1" si="198"/>
        <v>106.3276141698947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4.6555681183623649</v>
      </c>
      <c r="AZ166" s="127">
        <f t="shared" ca="1" si="155"/>
        <v>105.16895144249325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4.6659309937597877</v>
      </c>
      <c r="BJ166" s="127">
        <f t="shared" ca="1" si="201"/>
        <v>106.26447074308015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4.5685631380159188</v>
      </c>
      <c r="BT166" s="127">
        <f t="shared" ca="1" si="202"/>
        <v>96.405488825159466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4.6607667515917512</v>
      </c>
      <c r="CI166" s="127">
        <f t="shared" ca="1" si="203"/>
        <v>105.7171098508865</v>
      </c>
    </row>
    <row r="167" spans="24:87" x14ac:dyDescent="0.2">
      <c r="X167" s="121" t="s">
        <v>86</v>
      </c>
      <c r="Y167" s="73">
        <f t="shared" ref="Y167:AD167" ca="1" si="205">SUM(Y131:Y166)</f>
        <v>4350.1437360993914</v>
      </c>
      <c r="Z167" s="15">
        <f t="shared" ca="1" si="205"/>
        <v>172.44827184554399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3217.1181978164532</v>
      </c>
      <c r="AE167" s="66"/>
      <c r="AF167" s="120"/>
      <c r="AH167" s="121" t="s">
        <v>86</v>
      </c>
      <c r="AI167" s="73">
        <f t="shared" ref="AI167:AN167" ca="1" si="206">SUM(AI131:AI166)</f>
        <v>3786.7969043762964</v>
      </c>
      <c r="AJ167" s="15">
        <f t="shared" ca="1" si="206"/>
        <v>148.90427805531894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2845.4592979085178</v>
      </c>
      <c r="AO167" s="66"/>
      <c r="AP167" s="120"/>
      <c r="AR167" s="121" t="s">
        <v>86</v>
      </c>
      <c r="AS167" s="73">
        <f t="shared" ref="AS167:AX167" ca="1" si="207">SUM(AS131:AS166)</f>
        <v>2992.5276006178146</v>
      </c>
      <c r="AT167" s="15">
        <f t="shared" ca="1" si="207"/>
        <v>115.78402942590864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2613.6143194855117</v>
      </c>
      <c r="AY167" s="66"/>
      <c r="AZ167" s="120"/>
      <c r="BB167" s="121" t="s">
        <v>86</v>
      </c>
      <c r="BC167" s="73">
        <f t="shared" ref="BC167:BH167" ca="1" si="208">SUM(BC131:BC166)</f>
        <v>2290.7005761658547</v>
      </c>
      <c r="BD167" s="15">
        <f t="shared" ca="1" si="208"/>
        <v>87.214873230807399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2227.6466196608212</v>
      </c>
      <c r="BI167" s="66"/>
      <c r="BJ167" s="120"/>
      <c r="BL167" s="121" t="s">
        <v>86</v>
      </c>
      <c r="BM167" s="73">
        <f t="shared" ref="BM167:BR167" ca="1" si="209">SUM(BM131:BM166)</f>
        <v>1558.876763815279</v>
      </c>
      <c r="BN167" s="15">
        <f t="shared" ca="1" si="209"/>
        <v>58.392317214830776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1665.6482932776005</v>
      </c>
      <c r="BS167" s="66"/>
      <c r="BT167" s="120"/>
      <c r="CA167" s="121" t="s">
        <v>86</v>
      </c>
      <c r="CB167" s="73">
        <f t="shared" ref="CB167:CG167" ca="1" si="210">SUM(CB131:CB166)</f>
        <v>2478.4537581221593</v>
      </c>
      <c r="CC167" s="15">
        <f t="shared" ca="1" si="210"/>
        <v>96.370617309110102</v>
      </c>
      <c r="CD167" s="98">
        <f t="shared" ca="1" si="210"/>
        <v>20</v>
      </c>
      <c r="CE167" s="128">
        <f t="shared" ca="1" si="210"/>
        <v>430</v>
      </c>
      <c r="CF167" s="7">
        <f t="shared" ca="1" si="210"/>
        <v>9910</v>
      </c>
      <c r="CG167" s="15">
        <f t="shared" ca="1" si="210"/>
        <v>2076.9162353046918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4.7902297734873329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89.364394383790369</v>
      </c>
      <c r="AH168" s="7" t="s">
        <v>176</v>
      </c>
      <c r="AI168" s="7"/>
      <c r="AJ168" s="15">
        <f ca="1">+AJ167/AK167</f>
        <v>4.803363808236095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91.789009609952188</v>
      </c>
      <c r="AR168" s="7" t="s">
        <v>176</v>
      </c>
      <c r="AS168" s="7"/>
      <c r="AT168" s="15">
        <f ca="1">+AT167/AU167</f>
        <v>4.8243345594128604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108.90059664522965</v>
      </c>
      <c r="BB168" s="7" t="s">
        <v>176</v>
      </c>
      <c r="BC168" s="7"/>
      <c r="BD168" s="15">
        <f ca="1">+BD167/BE167</f>
        <v>4.8452707350448554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123.75814553671229</v>
      </c>
      <c r="BL168" s="7" t="s">
        <v>176</v>
      </c>
      <c r="BM168" s="7"/>
      <c r="BN168" s="15">
        <f ca="1">+BN167/BO167</f>
        <v>4.866026434569231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138.80402443980003</v>
      </c>
      <c r="CA168" s="7" t="s">
        <v>176</v>
      </c>
      <c r="CB168" s="7"/>
      <c r="CC168" s="15">
        <f ca="1">+CC167/CD167</f>
        <v>4.8185308654555055</v>
      </c>
      <c r="CD168" s="7"/>
      <c r="CE168" s="7">
        <f ca="1">+CE167/CD167</f>
        <v>21.5</v>
      </c>
      <c r="CF168" s="7">
        <f ca="1">+CF167/CD167</f>
        <v>495.5</v>
      </c>
      <c r="CG168" s="15">
        <f ca="1">+CG167/CD167</f>
        <v>103.84581176523459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20</v>
      </c>
    </row>
    <row r="171" spans="24:87" x14ac:dyDescent="0.2">
      <c r="X171" t="s">
        <v>254</v>
      </c>
      <c r="Y171" s="66">
        <f ca="1">Z167</f>
        <v>172.44827184554399</v>
      </c>
      <c r="AH171" t="s">
        <v>254</v>
      </c>
      <c r="AI171" s="66">
        <f ca="1">AJ167</f>
        <v>148.90427805531894</v>
      </c>
      <c r="AR171" t="s">
        <v>254</v>
      </c>
      <c r="AS171" s="66">
        <f ca="1">AT167</f>
        <v>115.78402942590864</v>
      </c>
      <c r="BB171" t="s">
        <v>254</v>
      </c>
      <c r="BC171" s="66">
        <f ca="1">BD167</f>
        <v>87.214873230807399</v>
      </c>
      <c r="BL171" t="s">
        <v>254</v>
      </c>
      <c r="BM171" s="66">
        <f ca="1">BN167</f>
        <v>58.392317214830776</v>
      </c>
      <c r="CA171" t="s">
        <v>254</v>
      </c>
      <c r="CB171" s="66">
        <f ca="1">CC167</f>
        <v>96.370617309110102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89.364394383790369</v>
      </c>
      <c r="AA173" t="s">
        <v>244</v>
      </c>
      <c r="AH173" s="1" t="s">
        <v>255</v>
      </c>
      <c r="AI173" s="59">
        <f ca="1">+AN168</f>
        <v>91.789009609952188</v>
      </c>
      <c r="AK173" t="s">
        <v>244</v>
      </c>
      <c r="AR173" s="1" t="s">
        <v>255</v>
      </c>
      <c r="AS173" s="59">
        <f ca="1">+AX168</f>
        <v>108.90059664522965</v>
      </c>
      <c r="AU173" t="s">
        <v>244</v>
      </c>
      <c r="BB173" s="1" t="s">
        <v>255</v>
      </c>
      <c r="BC173" s="59">
        <f ca="1">+BH168</f>
        <v>123.75814553671229</v>
      </c>
      <c r="BE173" t="s">
        <v>244</v>
      </c>
      <c r="BL173" s="1" t="s">
        <v>255</v>
      </c>
      <c r="BM173" s="59">
        <f ca="1">+BR168</f>
        <v>138.80402443980003</v>
      </c>
      <c r="BO173" t="s">
        <v>244</v>
      </c>
      <c r="CA173" s="1" t="s">
        <v>255</v>
      </c>
      <c r="CB173" s="59">
        <f ca="1">+CG168</f>
        <v>103.84581176523459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21.5</v>
      </c>
    </row>
    <row r="175" spans="24:87" x14ac:dyDescent="0.2">
      <c r="X175" s="1" t="s">
        <v>256</v>
      </c>
      <c r="Y175" s="59">
        <f ca="1">Y171/Y170</f>
        <v>4.7902297734873329</v>
      </c>
      <c r="AH175" s="1" t="s">
        <v>256</v>
      </c>
      <c r="AI175" s="59">
        <f ca="1">AI171/AI170</f>
        <v>4.803363808236095</v>
      </c>
      <c r="AR175" s="1" t="s">
        <v>256</v>
      </c>
      <c r="AS175" s="59">
        <f ca="1">AS171/AS170</f>
        <v>4.8243345594128604</v>
      </c>
      <c r="BB175" s="1" t="s">
        <v>256</v>
      </c>
      <c r="BC175" s="59">
        <f ca="1">BC171/BC170</f>
        <v>4.8452707350448554</v>
      </c>
      <c r="BL175" s="1" t="s">
        <v>256</v>
      </c>
      <c r="BM175" s="59">
        <f ca="1">BM171/BM170</f>
        <v>4.866026434569231</v>
      </c>
      <c r="CA175" s="1" t="s">
        <v>256</v>
      </c>
      <c r="CB175" s="59">
        <f ca="1">CB171/CB170</f>
        <v>4.8185308654555055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495.5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462.25</v>
      </c>
    </row>
    <row r="178" spans="24:87" x14ac:dyDescent="0.2">
      <c r="X178" s="28" t="s">
        <v>247</v>
      </c>
      <c r="Y178" s="66">
        <f ca="1">(Y173-Y175*Y174)/(Y176-Y177)</f>
        <v>6.9048053214644609E-3</v>
      </c>
      <c r="AH178" s="28" t="s">
        <v>247</v>
      </c>
      <c r="AI178" s="66">
        <f ca="1">(AI173-AI175*AI174)/(AI176-AI177)</f>
        <v>6.5637156683298059E-3</v>
      </c>
      <c r="AR178" s="28" t="s">
        <v>247</v>
      </c>
      <c r="AS178" s="66">
        <f ca="1">(AS173-AS175*AS174)/(AS176-AS177)</f>
        <v>7.3683977413627373E-3</v>
      </c>
      <c r="BB178" s="28" t="s">
        <v>247</v>
      </c>
      <c r="BC178" s="66">
        <f ca="1">(BC173-BC175*BC174)/(BC176-BC177)</f>
        <v>7.5693545412436249E-3</v>
      </c>
      <c r="BL178" s="28" t="s">
        <v>247</v>
      </c>
      <c r="BM178" s="66">
        <f ca="1">(BM173-BM175*BM174)/(BM176-BM177)</f>
        <v>1.0260508076386744E-2</v>
      </c>
      <c r="CA178" s="28" t="s">
        <v>247</v>
      </c>
      <c r="CB178" s="66">
        <f ca="1">(CB173-CB175*CB174)/(CB176-CB177)</f>
        <v>7.4405461034953279E-3</v>
      </c>
    </row>
    <row r="179" spans="24:87" x14ac:dyDescent="0.2">
      <c r="X179" s="28" t="s">
        <v>248</v>
      </c>
      <c r="Y179" s="66">
        <f ca="1">Y175-Y178*Y174</f>
        <v>4.6624908750402403</v>
      </c>
      <c r="AH179" s="28" t="s">
        <v>248</v>
      </c>
      <c r="AI179" s="66">
        <f ca="1">AI175-AI178*AI174</f>
        <v>4.6786532105378287</v>
      </c>
      <c r="AR179" s="28" t="s">
        <v>248</v>
      </c>
      <c r="AS179" s="66">
        <f ca="1">AS175-AS178*AS174</f>
        <v>4.6585456102321992</v>
      </c>
      <c r="BB179" s="28" t="s">
        <v>248</v>
      </c>
      <c r="BC179" s="66">
        <f ca="1">BC175-BC178*BC174</f>
        <v>4.6522521942431432</v>
      </c>
      <c r="BL179" s="28" t="s">
        <v>248</v>
      </c>
      <c r="BM179" s="66">
        <f ca="1">BM175-BM178*BM174</f>
        <v>4.5736019543922088</v>
      </c>
      <c r="CA179" s="28" t="s">
        <v>248</v>
      </c>
      <c r="CB179" s="66">
        <f ca="1">CB175-CB178*CB174</f>
        <v>4.6585591242303561</v>
      </c>
    </row>
    <row r="180" spans="24:87" x14ac:dyDescent="0.2">
      <c r="X180" t="s">
        <v>249</v>
      </c>
      <c r="Y180" s="126">
        <f ca="1">EXP(12*Y178+Y179)/EXP(Y179)-1</f>
        <v>8.6387165384540499E-2</v>
      </c>
      <c r="AH180" t="s">
        <v>249</v>
      </c>
      <c r="AI180" s="126">
        <f ca="1">EXP(12*AI178+AI179)/EXP(AI179)-1</f>
        <v>8.1949588192925527E-2</v>
      </c>
      <c r="AR180" t="s">
        <v>249</v>
      </c>
      <c r="AS180" s="126">
        <f ca="1">EXP(12*AS178+AS179)/EXP(AS179)-1</f>
        <v>9.2447697714801436E-2</v>
      </c>
      <c r="BB180" t="s">
        <v>249</v>
      </c>
      <c r="BC180" s="126">
        <f ca="1">EXP(12*BC178+BC179)/EXP(BC179)-1</f>
        <v>9.5085294214765526E-2</v>
      </c>
      <c r="BL180" t="s">
        <v>249</v>
      </c>
      <c r="BM180" s="126">
        <f ca="1">EXP(12*BM178+BM179)/EXP(BM179)-1</f>
        <v>0.1310270309772017</v>
      </c>
      <c r="CA180" t="s">
        <v>249</v>
      </c>
      <c r="CB180" s="126">
        <f ca="1">EXP(12*CB178+CB179)/EXP(CB179)-1</f>
        <v>9.3393927014328915E-2</v>
      </c>
    </row>
    <row r="181" spans="24:87" x14ac:dyDescent="0.2">
      <c r="X181" t="s">
        <v>250</v>
      </c>
      <c r="Y181" t="str">
        <f ca="1">FIXED(Y180*100,1,TRUE)</f>
        <v>8.6</v>
      </c>
      <c r="AH181" t="s">
        <v>250</v>
      </c>
      <c r="AI181" t="str">
        <f ca="1">FIXED(AI180*100,1,TRUE)</f>
        <v>8.2</v>
      </c>
      <c r="AR181" t="s">
        <v>250</v>
      </c>
      <c r="AS181" t="str">
        <f ca="1">FIXED(AS180*100,1,TRUE)</f>
        <v>9.2</v>
      </c>
      <c r="BB181" t="s">
        <v>250</v>
      </c>
      <c r="BC181" t="str">
        <f ca="1">FIXED(BC180*100,1,TRUE)</f>
        <v>9.5</v>
      </c>
      <c r="BL181" t="s">
        <v>250</v>
      </c>
      <c r="BM181" t="str">
        <f ca="1">FIXED(BM180*100,1,TRUE)</f>
        <v>13.1</v>
      </c>
      <c r="CA181" t="s">
        <v>250</v>
      </c>
      <c r="CB181" t="str">
        <f ca="1">FIXED(CB180*100,1,TRUE)</f>
        <v>9.3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100.89458698895866</v>
      </c>
      <c r="Z193" s="15">
        <f>IF(Y193=0,0,LN(Y193))</f>
        <v>4.6140762786356468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4.6140762786356468</v>
      </c>
      <c r="AE193" s="127">
        <f ca="1">Y$116*$V193+Y$117</f>
        <v>4.6624908750402403</v>
      </c>
      <c r="AF193" s="127">
        <f ca="1">EXP(AE193)</f>
        <v>105.89953641665663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4.6665250274341572</v>
      </c>
      <c r="AP193" s="127">
        <f ca="1">EXP(AO193)</f>
        <v>106.3276141698947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4.6555681183623649</v>
      </c>
      <c r="AZ193" s="127">
        <f ca="1">EXP(AY193)</f>
        <v>105.16895144249325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4.6659309937597877</v>
      </c>
      <c r="BJ193" s="127">
        <f ca="1">EXP(BI193)</f>
        <v>106.26447074308015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4.5685631380159188</v>
      </c>
      <c r="BT193" s="127">
        <f ca="1">EXP(BS193)</f>
        <v>96.405488825159466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4.6607667515917512</v>
      </c>
      <c r="CI193" s="127">
        <f ca="1">EXP(CH193)</f>
        <v>105.7171098508865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99.675216059479581</v>
      </c>
      <c r="Z194" s="15">
        <f t="shared" ref="Z194:Z228" si="213">IF(Y194=0,0,LN(Y194))</f>
        <v>4.601917060904694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9.203834121809388</v>
      </c>
      <c r="AE194" s="127">
        <f t="shared" ref="AE194:AE228" ca="1" si="217">Y$116*$V194+Y$117</f>
        <v>4.6624908750402403</v>
      </c>
      <c r="AF194" s="127">
        <f ca="1">EXP(AE194)</f>
        <v>105.89953641665663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4.6665250274341572</v>
      </c>
      <c r="AP194" s="127">
        <f ca="1">EXP(AO194)</f>
        <v>106.3276141698947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4.6555681183623649</v>
      </c>
      <c r="AZ194" s="127">
        <f ca="1">EXP(AY194)</f>
        <v>105.16895144249325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4.6659309937597877</v>
      </c>
      <c r="BJ194" s="127">
        <f ca="1">EXP(BI194)</f>
        <v>106.26447074308015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4.5685631380159188</v>
      </c>
      <c r="BT194" s="127">
        <f ca="1">EXP(BS194)</f>
        <v>96.405488825159466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4.6607667515917512</v>
      </c>
      <c r="CI194" s="127">
        <f ca="1">EXP(CH194)</f>
        <v>105.7171098508865</v>
      </c>
    </row>
    <row r="195" spans="24:87" x14ac:dyDescent="0.2">
      <c r="X195" s="121">
        <f t="shared" si="211"/>
        <v>44348</v>
      </c>
      <c r="Y195" s="73">
        <f t="shared" si="212"/>
        <v>107.90997929051117</v>
      </c>
      <c r="Z195" s="15">
        <f t="shared" si="213"/>
        <v>4.6812973544611687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14.043892063383506</v>
      </c>
      <c r="AE195" s="127">
        <f t="shared" ca="1" si="217"/>
        <v>4.6624908750402403</v>
      </c>
      <c r="AF195" s="127">
        <f ca="1">EXP(AE195)</f>
        <v>105.89953641665663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4.6665250274341572</v>
      </c>
      <c r="AP195" s="127">
        <f ca="1">EXP(AO195)</f>
        <v>106.3276141698947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4.6555681183623649</v>
      </c>
      <c r="AZ195" s="127">
        <f ca="1">EXP(AY195)</f>
        <v>105.16895144249325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4.6659309937597877</v>
      </c>
      <c r="BJ195" s="127">
        <f ca="1">EXP(BI195)</f>
        <v>106.26447074308015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4.5685631380159188</v>
      </c>
      <c r="BT195" s="127">
        <f ca="1">EXP(BS195)</f>
        <v>96.405488825159466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4.6607667515917512</v>
      </c>
      <c r="CI195" s="127">
        <f ca="1">EXP(CH195)</f>
        <v>105.7171098508865</v>
      </c>
    </row>
    <row r="196" spans="24:87" x14ac:dyDescent="0.2">
      <c r="X196" s="121">
        <f t="shared" si="211"/>
        <v>44378</v>
      </c>
      <c r="Y196" s="73">
        <f t="shared" si="212"/>
        <v>108.29673471066521</v>
      </c>
      <c r="Z196" s="15">
        <f t="shared" si="213"/>
        <v>4.6848750031430422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18.739500012572169</v>
      </c>
      <c r="AE196" s="127">
        <f t="shared" ca="1" si="217"/>
        <v>4.6624908750402403</v>
      </c>
      <c r="AF196" s="127">
        <f ca="1">EXP(AE196)</f>
        <v>105.89953641665663</v>
      </c>
      <c r="AH196" s="121">
        <f t="shared" si="218"/>
        <v>44378</v>
      </c>
      <c r="AI196" s="73">
        <f t="shared" si="219"/>
        <v>111.54678433493287</v>
      </c>
      <c r="AJ196" s="15">
        <f t="shared" si="220"/>
        <v>4.7144440933445457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18.857776373378183</v>
      </c>
      <c r="AO196" s="127">
        <f t="shared" ca="1" si="224"/>
        <v>4.6665250274341572</v>
      </c>
      <c r="AP196" s="127">
        <f ca="1">EXP(AO196)</f>
        <v>106.3276141698947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4.6555681183623649</v>
      </c>
      <c r="AZ196" s="127">
        <f ca="1">EXP(AY196)</f>
        <v>105.16895144249325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4.6659309937597877</v>
      </c>
      <c r="BJ196" s="127">
        <f ca="1">EXP(BI196)</f>
        <v>106.26447074308015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4.5685631380159188</v>
      </c>
      <c r="BT196" s="127">
        <f ca="1">EXP(BS196)</f>
        <v>96.405488825159466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4.6607667515917512</v>
      </c>
      <c r="CI196" s="127">
        <f ca="1">EXP(CH196)</f>
        <v>105.7171098508865</v>
      </c>
    </row>
    <row r="197" spans="24:87" x14ac:dyDescent="0.2">
      <c r="X197" s="121">
        <f t="shared" si="211"/>
        <v>44409</v>
      </c>
      <c r="Y197" s="73">
        <f t="shared" si="212"/>
        <v>114.76950676537243</v>
      </c>
      <c r="Z197" s="15">
        <f t="shared" si="213"/>
        <v>4.7429258280913968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23.714629140456985</v>
      </c>
      <c r="AE197" s="127">
        <f t="shared" ca="1" si="217"/>
        <v>4.6624908750402403</v>
      </c>
      <c r="AF197" s="127">
        <f t="shared" ref="AF197:AF228" ca="1" si="251">EXP(AE197)</f>
        <v>105.89953641665663</v>
      </c>
      <c r="AH197" s="121">
        <f t="shared" si="218"/>
        <v>44409</v>
      </c>
      <c r="AI197" s="73">
        <f t="shared" si="219"/>
        <v>114.19934325585734</v>
      </c>
      <c r="AJ197" s="15">
        <f t="shared" si="220"/>
        <v>4.737945546381007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23.689727731905034</v>
      </c>
      <c r="AO197" s="127">
        <f t="shared" ca="1" si="224"/>
        <v>4.6665250274341572</v>
      </c>
      <c r="AP197" s="127">
        <f t="shared" ref="AP197:AP228" ca="1" si="252">EXP(AO197)</f>
        <v>106.3276141698947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4.6555681183623649</v>
      </c>
      <c r="AZ197" s="127">
        <f t="shared" ref="AZ197:AZ228" ca="1" si="253">EXP(AY197)</f>
        <v>105.16895144249325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4.6659309937597877</v>
      </c>
      <c r="BJ197" s="127">
        <f t="shared" ref="BJ197:BJ228" ca="1" si="254">EXP(BI197)</f>
        <v>106.26447074308015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4.5685631380159188</v>
      </c>
      <c r="BT197" s="127">
        <f t="shared" ref="BT197:BT228" ca="1" si="255">EXP(BS197)</f>
        <v>96.405488825159466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4.6607667515917512</v>
      </c>
      <c r="CI197" s="127">
        <f t="shared" ref="CI197:CI228" ca="1" si="256">EXP(CH197)</f>
        <v>105.7171098508865</v>
      </c>
    </row>
    <row r="198" spans="24:87" x14ac:dyDescent="0.2">
      <c r="X198" s="121">
        <f t="shared" si="211"/>
        <v>44440</v>
      </c>
      <c r="Y198" s="73">
        <f t="shared" si="212"/>
        <v>117.72995171430985</v>
      </c>
      <c r="Z198" s="15">
        <f t="shared" si="213"/>
        <v>4.7683934569508031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28.610360741704817</v>
      </c>
      <c r="AE198" s="127">
        <f t="shared" ca="1" si="217"/>
        <v>4.6624908750402403</v>
      </c>
      <c r="AF198" s="127">
        <f t="shared" ca="1" si="251"/>
        <v>105.89953641665663</v>
      </c>
      <c r="AH198" s="121">
        <f t="shared" si="218"/>
        <v>44440</v>
      </c>
      <c r="AI198" s="73">
        <f t="shared" si="219"/>
        <v>115.09034372016781</v>
      </c>
      <c r="AJ198" s="15">
        <f t="shared" si="220"/>
        <v>4.7457174175096775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28.474304505058065</v>
      </c>
      <c r="AO198" s="127">
        <f t="shared" ca="1" si="224"/>
        <v>4.6665250274341572</v>
      </c>
      <c r="AP198" s="127">
        <f t="shared" ca="1" si="252"/>
        <v>106.3276141698947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4.6555681183623649</v>
      </c>
      <c r="AZ198" s="127">
        <f t="shared" ca="1" si="253"/>
        <v>105.16895144249325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4.6659309937597877</v>
      </c>
      <c r="BJ198" s="127">
        <f t="shared" ca="1" si="254"/>
        <v>106.26447074308015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4.5685631380159188</v>
      </c>
      <c r="BT198" s="127">
        <f t="shared" ca="1" si="255"/>
        <v>96.405488825159466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4.6607667515917512</v>
      </c>
      <c r="CI198" s="127">
        <f t="shared" ca="1" si="256"/>
        <v>105.7171098508865</v>
      </c>
    </row>
    <row r="199" spans="24:87" x14ac:dyDescent="0.2">
      <c r="X199" s="121">
        <f t="shared" si="211"/>
        <v>44470</v>
      </c>
      <c r="Y199" s="73">
        <f t="shared" si="212"/>
        <v>120.89931746925885</v>
      </c>
      <c r="Z199" s="15">
        <f t="shared" si="213"/>
        <v>4.7949581121892519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33.564706785324766</v>
      </c>
      <c r="AE199" s="127">
        <f t="shared" ca="1" si="217"/>
        <v>4.6624908750402403</v>
      </c>
      <c r="AF199" s="127">
        <f t="shared" ca="1" si="251"/>
        <v>105.89953641665663</v>
      </c>
      <c r="AH199" s="121">
        <f t="shared" si="218"/>
        <v>44470</v>
      </c>
      <c r="AI199" s="73">
        <f t="shared" si="219"/>
        <v>114.1633284376632</v>
      </c>
      <c r="AJ199" s="15">
        <f t="shared" si="220"/>
        <v>4.7376301286446001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33.163410900512204</v>
      </c>
      <c r="AO199" s="127">
        <f t="shared" ca="1" si="224"/>
        <v>4.6665250274341572</v>
      </c>
      <c r="AP199" s="127">
        <f t="shared" ca="1" si="252"/>
        <v>106.3276141698947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4.6555681183623649</v>
      </c>
      <c r="AZ199" s="127">
        <f t="shared" ca="1" si="253"/>
        <v>105.16895144249325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4.6659309937597877</v>
      </c>
      <c r="BJ199" s="127">
        <f t="shared" ca="1" si="254"/>
        <v>106.26447074308015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4.5685631380159188</v>
      </c>
      <c r="BT199" s="127">
        <f t="shared" ca="1" si="255"/>
        <v>96.405488825159466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4.6607667515917512</v>
      </c>
      <c r="CI199" s="127">
        <f t="shared" ca="1" si="256"/>
        <v>105.7171098508865</v>
      </c>
    </row>
    <row r="200" spans="24:87" x14ac:dyDescent="0.2">
      <c r="X200" s="121">
        <f t="shared" si="211"/>
        <v>44501</v>
      </c>
      <c r="Y200" s="73">
        <f t="shared" si="212"/>
        <v>115.59056958502657</v>
      </c>
      <c r="Z200" s="15">
        <f t="shared" si="213"/>
        <v>4.750054374926413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38.000434999411304</v>
      </c>
      <c r="AE200" s="127">
        <f t="shared" ca="1" si="217"/>
        <v>4.6624908750402403</v>
      </c>
      <c r="AF200" s="127">
        <f t="shared" ca="1" si="251"/>
        <v>105.89953641665663</v>
      </c>
      <c r="AH200" s="121">
        <f t="shared" si="218"/>
        <v>44501</v>
      </c>
      <c r="AI200" s="73">
        <f t="shared" si="219"/>
        <v>112.74585782753446</v>
      </c>
      <c r="AJ200" s="15">
        <f t="shared" si="220"/>
        <v>4.7251362400364085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37.801089920291268</v>
      </c>
      <c r="AO200" s="127">
        <f t="shared" ca="1" si="224"/>
        <v>4.6665250274341572</v>
      </c>
      <c r="AP200" s="127">
        <f t="shared" ca="1" si="252"/>
        <v>106.3276141698947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4.6555681183623649</v>
      </c>
      <c r="AZ200" s="127">
        <f t="shared" ca="1" si="253"/>
        <v>105.16895144249325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4.6659309937597877</v>
      </c>
      <c r="BJ200" s="127">
        <f t="shared" ca="1" si="254"/>
        <v>106.26447074308015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4.5685631380159188</v>
      </c>
      <c r="BT200" s="127">
        <f t="shared" ca="1" si="255"/>
        <v>96.405488825159466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4.6607667515917512</v>
      </c>
      <c r="CI200" s="127">
        <f t="shared" ca="1" si="256"/>
        <v>105.7171098508865</v>
      </c>
    </row>
    <row r="201" spans="24:87" x14ac:dyDescent="0.2">
      <c r="X201" s="121">
        <f t="shared" si="211"/>
        <v>44531</v>
      </c>
      <c r="Y201" s="73">
        <f t="shared" si="212"/>
        <v>113.25598207637394</v>
      </c>
      <c r="Z201" s="15">
        <f t="shared" si="213"/>
        <v>4.7296505848345545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42.566855263510988</v>
      </c>
      <c r="AE201" s="127">
        <f t="shared" ca="1" si="217"/>
        <v>4.6624908750402403</v>
      </c>
      <c r="AF201" s="127">
        <f t="shared" ca="1" si="251"/>
        <v>105.89953641665663</v>
      </c>
      <c r="AH201" s="121">
        <f t="shared" si="218"/>
        <v>44531</v>
      </c>
      <c r="AI201" s="73">
        <f t="shared" si="219"/>
        <v>113.87291468308784</v>
      </c>
      <c r="AJ201" s="15">
        <f t="shared" si="220"/>
        <v>4.7350830430795217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42.615747387715693</v>
      </c>
      <c r="AO201" s="127">
        <f t="shared" ca="1" si="224"/>
        <v>4.6665250274341572</v>
      </c>
      <c r="AP201" s="127">
        <f t="shared" ca="1" si="252"/>
        <v>106.3276141698947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4.6555681183623649</v>
      </c>
      <c r="AZ201" s="127">
        <f t="shared" ca="1" si="253"/>
        <v>105.16895144249325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4.6659309937597877</v>
      </c>
      <c r="BJ201" s="127">
        <f t="shared" ca="1" si="254"/>
        <v>106.26447074308015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4.5685631380159188</v>
      </c>
      <c r="BT201" s="127">
        <f t="shared" ca="1" si="255"/>
        <v>96.405488825159466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4.6607667515917512</v>
      </c>
      <c r="CI201" s="127">
        <f t="shared" ca="1" si="256"/>
        <v>105.7171098508865</v>
      </c>
    </row>
    <row r="202" spans="24:87" x14ac:dyDescent="0.2">
      <c r="X202" s="121">
        <f t="shared" si="211"/>
        <v>44562</v>
      </c>
      <c r="Y202" s="73">
        <f t="shared" si="212"/>
        <v>102.7346430156375</v>
      </c>
      <c r="Z202" s="15">
        <f t="shared" si="213"/>
        <v>4.6321493825043047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46.321493825043049</v>
      </c>
      <c r="AE202" s="127">
        <f t="shared" ca="1" si="217"/>
        <v>4.6624908750402403</v>
      </c>
      <c r="AF202" s="127">
        <f t="shared" ca="1" si="251"/>
        <v>105.89953641665663</v>
      </c>
      <c r="AH202" s="121">
        <f t="shared" si="218"/>
        <v>44562</v>
      </c>
      <c r="AI202" s="73">
        <f t="shared" si="219"/>
        <v>112.65073149923825</v>
      </c>
      <c r="AJ202" s="15">
        <f t="shared" si="220"/>
        <v>4.7242921604145449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47.242921604145451</v>
      </c>
      <c r="AO202" s="127">
        <f t="shared" ca="1" si="224"/>
        <v>4.6665250274341572</v>
      </c>
      <c r="AP202" s="127">
        <f t="shared" ca="1" si="252"/>
        <v>106.3276141698947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4.6555681183623649</v>
      </c>
      <c r="AZ202" s="127">
        <f t="shared" ca="1" si="253"/>
        <v>105.16895144249325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4.6659309937597877</v>
      </c>
      <c r="BJ202" s="127">
        <f t="shared" ca="1" si="254"/>
        <v>106.26447074308015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4.5685631380159188</v>
      </c>
      <c r="BT202" s="127">
        <f t="shared" ca="1" si="255"/>
        <v>96.405488825159466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4.6607667515917512</v>
      </c>
      <c r="CI202" s="127">
        <f t="shared" ca="1" si="256"/>
        <v>105.7171098508865</v>
      </c>
    </row>
    <row r="203" spans="24:87" x14ac:dyDescent="0.2">
      <c r="X203" s="121">
        <f t="shared" si="211"/>
        <v>44593</v>
      </c>
      <c r="Y203" s="73">
        <f t="shared" si="212"/>
        <v>106.26468310460019</v>
      </c>
      <c r="Z203" s="15">
        <f t="shared" si="213"/>
        <v>4.6659329921822739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51.325262914005009</v>
      </c>
      <c r="AE203" s="127">
        <f t="shared" ca="1" si="217"/>
        <v>4.6624908750402403</v>
      </c>
      <c r="AF203" s="127">
        <f t="shared" ca="1" si="251"/>
        <v>105.89953641665663</v>
      </c>
      <c r="AH203" s="121">
        <f t="shared" si="218"/>
        <v>44593</v>
      </c>
      <c r="AI203" s="73">
        <f t="shared" si="219"/>
        <v>112.6633057319781</v>
      </c>
      <c r="AJ203" s="15">
        <f t="shared" si="220"/>
        <v>4.7244037755887032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51.968441531475733</v>
      </c>
      <c r="AO203" s="127">
        <f t="shared" ca="1" si="224"/>
        <v>4.6665250274341572</v>
      </c>
      <c r="AP203" s="127">
        <f t="shared" ca="1" si="252"/>
        <v>106.3276141698947</v>
      </c>
      <c r="AR203" s="121">
        <f t="shared" si="225"/>
        <v>44593</v>
      </c>
      <c r="AS203" s="73">
        <f>+$AI203</f>
        <v>112.6633057319781</v>
      </c>
      <c r="AT203" s="15">
        <f t="shared" si="226"/>
        <v>4.7244037755887032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51.968441531475733</v>
      </c>
      <c r="AY203" s="127">
        <f t="shared" ca="1" si="230"/>
        <v>4.6555681183623649</v>
      </c>
      <c r="AZ203" s="127">
        <f t="shared" ca="1" si="253"/>
        <v>105.16895144249325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4.6659309937597877</v>
      </c>
      <c r="BJ203" s="127">
        <f t="shared" ca="1" si="254"/>
        <v>106.26447074308015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4.5685631380159188</v>
      </c>
      <c r="BT203" s="127">
        <f t="shared" ca="1" si="255"/>
        <v>96.405488825159466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4.6607667515917512</v>
      </c>
      <c r="CI203" s="127">
        <f t="shared" ca="1" si="256"/>
        <v>105.7171098508865</v>
      </c>
    </row>
    <row r="204" spans="24:87" x14ac:dyDescent="0.2">
      <c r="X204" s="121">
        <f t="shared" si="211"/>
        <v>44621</v>
      </c>
      <c r="Y204" s="73">
        <f t="shared" si="212"/>
        <v>124.49229284762997</v>
      </c>
      <c r="Z204" s="15">
        <f t="shared" si="213"/>
        <v>4.8242438091502651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57.890925709803184</v>
      </c>
      <c r="AE204" s="127">
        <f t="shared" ca="1" si="217"/>
        <v>4.6624908750402403</v>
      </c>
      <c r="AF204" s="127">
        <f t="shared" ca="1" si="251"/>
        <v>105.89953641665663</v>
      </c>
      <c r="AH204" s="121">
        <f t="shared" si="218"/>
        <v>44621</v>
      </c>
      <c r="AI204" s="73">
        <f t="shared" si="219"/>
        <v>113.5043190260684</v>
      </c>
      <c r="AJ204" s="15">
        <f t="shared" si="220"/>
        <v>4.7318408892905701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56.782090671486841</v>
      </c>
      <c r="AO204" s="127">
        <f t="shared" ca="1" si="224"/>
        <v>4.6665250274341572</v>
      </c>
      <c r="AP204" s="127">
        <f t="shared" ca="1" si="252"/>
        <v>106.3276141698947</v>
      </c>
      <c r="AR204" s="121">
        <f t="shared" si="225"/>
        <v>44621</v>
      </c>
      <c r="AS204" s="73">
        <f t="shared" ref="AS204:AS226" si="257">+$AI204</f>
        <v>113.5043190260684</v>
      </c>
      <c r="AT204" s="15">
        <f t="shared" si="226"/>
        <v>4.7318408892905701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56.782090671486841</v>
      </c>
      <c r="AY204" s="127">
        <f t="shared" ca="1" si="230"/>
        <v>4.6555681183623649</v>
      </c>
      <c r="AZ204" s="127">
        <f t="shared" ca="1" si="253"/>
        <v>105.16895144249325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4.6659309937597877</v>
      </c>
      <c r="BJ204" s="127">
        <f t="shared" ca="1" si="254"/>
        <v>106.26447074308015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4.5685631380159188</v>
      </c>
      <c r="BT204" s="127">
        <f t="shared" ca="1" si="255"/>
        <v>96.405488825159466</v>
      </c>
      <c r="BZ204" s="583">
        <f t="shared" si="243"/>
        <v>1</v>
      </c>
      <c r="CA204" s="121">
        <f t="shared" si="244"/>
        <v>44621</v>
      </c>
      <c r="CB204" s="127">
        <f t="shared" si="245"/>
        <v>113.5043190260684</v>
      </c>
      <c r="CC204" s="15">
        <f t="shared" si="246"/>
        <v>4.7318408892905701</v>
      </c>
      <c r="CD204" s="98">
        <f t="shared" si="247"/>
        <v>1</v>
      </c>
      <c r="CE204" s="128">
        <f>IF(CD204&gt;0,12,0)</f>
        <v>12</v>
      </c>
      <c r="CF204" s="128">
        <f t="shared" si="248"/>
        <v>144</v>
      </c>
      <c r="CG204" s="15">
        <f t="shared" si="249"/>
        <v>56.782090671486841</v>
      </c>
      <c r="CH204" s="127">
        <f t="shared" ca="1" si="250"/>
        <v>4.6607667515917512</v>
      </c>
      <c r="CI204" s="127">
        <f t="shared" ca="1" si="256"/>
        <v>105.7171098508865</v>
      </c>
    </row>
    <row r="205" spans="24:87" x14ac:dyDescent="0.2">
      <c r="X205" s="121">
        <f t="shared" si="211"/>
        <v>44652</v>
      </c>
      <c r="Y205" s="73">
        <f t="shared" si="212"/>
        <v>113.56621836616137</v>
      </c>
      <c r="Z205" s="15">
        <f t="shared" si="213"/>
        <v>4.7323860885254607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61.521019150830988</v>
      </c>
      <c r="AE205" s="127">
        <f t="shared" ca="1" si="217"/>
        <v>4.6624908750402403</v>
      </c>
      <c r="AF205" s="127">
        <f t="shared" ca="1" si="251"/>
        <v>105.89953641665663</v>
      </c>
      <c r="AH205" s="121">
        <f t="shared" si="218"/>
        <v>44652</v>
      </c>
      <c r="AI205" s="73">
        <f t="shared" si="219"/>
        <v>115.39976067069767</v>
      </c>
      <c r="AJ205" s="15">
        <f t="shared" si="220"/>
        <v>4.7484022801610832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61.729229642094083</v>
      </c>
      <c r="AO205" s="127">
        <f t="shared" ca="1" si="224"/>
        <v>4.6665250274341572</v>
      </c>
      <c r="AP205" s="127">
        <f t="shared" ca="1" si="252"/>
        <v>106.3276141698947</v>
      </c>
      <c r="AR205" s="121">
        <f t="shared" si="225"/>
        <v>44652</v>
      </c>
      <c r="AS205" s="73">
        <f>+$AI205</f>
        <v>115.39976067069767</v>
      </c>
      <c r="AT205" s="15">
        <f t="shared" si="226"/>
        <v>4.7484022801610832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61.729229642094083</v>
      </c>
      <c r="AY205" s="127">
        <f t="shared" ca="1" si="230"/>
        <v>4.6555681183623649</v>
      </c>
      <c r="AZ205" s="127">
        <f t="shared" ca="1" si="253"/>
        <v>105.16895144249325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4.6659309937597877</v>
      </c>
      <c r="BJ205" s="127">
        <f t="shared" ca="1" si="254"/>
        <v>106.26447074308015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4.5685631380159188</v>
      </c>
      <c r="BT205" s="127">
        <f t="shared" ca="1" si="255"/>
        <v>96.405488825159466</v>
      </c>
      <c r="BZ205" s="583">
        <f t="shared" si="243"/>
        <v>1</v>
      </c>
      <c r="CA205" s="121">
        <f t="shared" si="244"/>
        <v>44652</v>
      </c>
      <c r="CB205" s="127">
        <f t="shared" si="245"/>
        <v>115.39976067069767</v>
      </c>
      <c r="CC205" s="15">
        <f t="shared" si="246"/>
        <v>4.7484022801610832</v>
      </c>
      <c r="CD205" s="98">
        <f t="shared" si="247"/>
        <v>1</v>
      </c>
      <c r="CE205" s="128">
        <f>IF(CD205&gt;0,13,0)</f>
        <v>13</v>
      </c>
      <c r="CF205" s="128">
        <f t="shared" si="248"/>
        <v>169</v>
      </c>
      <c r="CG205" s="15">
        <f t="shared" si="249"/>
        <v>61.729229642094083</v>
      </c>
      <c r="CH205" s="127">
        <f t="shared" ca="1" si="250"/>
        <v>4.6607667515917512</v>
      </c>
      <c r="CI205" s="127">
        <f t="shared" ca="1" si="256"/>
        <v>105.7171098508865</v>
      </c>
    </row>
    <row r="206" spans="24:87" x14ac:dyDescent="0.2">
      <c r="X206" s="121">
        <f t="shared" si="211"/>
        <v>44682</v>
      </c>
      <c r="Y206" s="73">
        <f t="shared" si="212"/>
        <v>115.66601498146562</v>
      </c>
      <c r="Z206" s="15">
        <f t="shared" si="213"/>
        <v>4.7507068570968745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66.509895999356246</v>
      </c>
      <c r="AE206" s="127">
        <f t="shared" ca="1" si="217"/>
        <v>4.6624908750402403</v>
      </c>
      <c r="AF206" s="127">
        <f t="shared" ca="1" si="251"/>
        <v>105.89953641665663</v>
      </c>
      <c r="AH206" s="121">
        <f t="shared" si="218"/>
        <v>44682</v>
      </c>
      <c r="AI206" s="73">
        <f t="shared" si="219"/>
        <v>119.21629943200766</v>
      </c>
      <c r="AJ206" s="15">
        <f t="shared" si="220"/>
        <v>4.7809394854845664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66.933152796783929</v>
      </c>
      <c r="AO206" s="127">
        <f t="shared" ca="1" si="224"/>
        <v>4.6665250274341572</v>
      </c>
      <c r="AP206" s="127">
        <f t="shared" ca="1" si="252"/>
        <v>106.3276141698947</v>
      </c>
      <c r="AR206" s="121">
        <f t="shared" si="225"/>
        <v>44682</v>
      </c>
      <c r="AS206" s="73">
        <f t="shared" si="257"/>
        <v>119.21629943200766</v>
      </c>
      <c r="AT206" s="15">
        <f t="shared" si="226"/>
        <v>4.7809394854845664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66.933152796783929</v>
      </c>
      <c r="AY206" s="127">
        <f t="shared" ca="1" si="230"/>
        <v>4.6555681183623649</v>
      </c>
      <c r="AZ206" s="127">
        <f t="shared" ca="1" si="253"/>
        <v>105.16895144249325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4.6659309937597877</v>
      </c>
      <c r="BJ206" s="127">
        <f t="shared" ca="1" si="254"/>
        <v>106.26447074308015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4.5685631380159188</v>
      </c>
      <c r="BT206" s="127">
        <f t="shared" ca="1" si="255"/>
        <v>96.405488825159466</v>
      </c>
      <c r="BZ206" s="583">
        <f t="shared" si="243"/>
        <v>1</v>
      </c>
      <c r="CA206" s="121">
        <f t="shared" si="244"/>
        <v>44682</v>
      </c>
      <c r="CB206" s="127">
        <f t="shared" si="245"/>
        <v>119.21629943200766</v>
      </c>
      <c r="CC206" s="15">
        <f t="shared" si="246"/>
        <v>4.7809394854845664</v>
      </c>
      <c r="CD206" s="98">
        <f t="shared" si="247"/>
        <v>1</v>
      </c>
      <c r="CE206" s="128">
        <f>IF(CD206&gt;0,14,0)</f>
        <v>14</v>
      </c>
      <c r="CF206" s="128">
        <f t="shared" si="248"/>
        <v>196</v>
      </c>
      <c r="CG206" s="15">
        <f t="shared" si="249"/>
        <v>66.933152796783929</v>
      </c>
      <c r="CH206" s="127">
        <f t="shared" ca="1" si="250"/>
        <v>4.6607667515917512</v>
      </c>
      <c r="CI206" s="127">
        <f t="shared" ca="1" si="256"/>
        <v>105.7171098508865</v>
      </c>
    </row>
    <row r="207" spans="24:87" x14ac:dyDescent="0.2">
      <c r="X207" s="121">
        <f t="shared" si="211"/>
        <v>44713</v>
      </c>
      <c r="Y207" s="73">
        <f t="shared" si="212"/>
        <v>118.30206184091573</v>
      </c>
      <c r="Z207" s="15">
        <f t="shared" si="213"/>
        <v>4.7732411997497524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71.59861799624629</v>
      </c>
      <c r="AE207" s="127">
        <f t="shared" ca="1" si="217"/>
        <v>4.6624908750402403</v>
      </c>
      <c r="AF207" s="127">
        <f t="shared" ca="1" si="251"/>
        <v>105.89953641665663</v>
      </c>
      <c r="AH207" s="121">
        <f t="shared" si="218"/>
        <v>44713</v>
      </c>
      <c r="AI207" s="73">
        <f t="shared" si="219"/>
        <v>119.38231213016569</v>
      </c>
      <c r="AJ207" s="15">
        <f t="shared" si="220"/>
        <v>4.7823310503713925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71.734965755570883</v>
      </c>
      <c r="AO207" s="127">
        <f t="shared" ca="1" si="224"/>
        <v>4.6665250274341572</v>
      </c>
      <c r="AP207" s="127">
        <f t="shared" ca="1" si="252"/>
        <v>106.3276141698947</v>
      </c>
      <c r="AR207" s="121">
        <f t="shared" si="225"/>
        <v>44713</v>
      </c>
      <c r="AS207" s="73">
        <f t="shared" si="257"/>
        <v>119.38231213016569</v>
      </c>
      <c r="AT207" s="15">
        <f t="shared" si="226"/>
        <v>4.7823310503713925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71.734965755570883</v>
      </c>
      <c r="AY207" s="127">
        <f t="shared" ca="1" si="230"/>
        <v>4.6555681183623649</v>
      </c>
      <c r="AZ207" s="127">
        <f t="shared" ca="1" si="253"/>
        <v>105.16895144249325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4.6659309937597877</v>
      </c>
      <c r="BJ207" s="127">
        <f t="shared" ca="1" si="254"/>
        <v>106.26447074308015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4.5685631380159188</v>
      </c>
      <c r="BT207" s="127">
        <f t="shared" ca="1" si="255"/>
        <v>96.405488825159466</v>
      </c>
      <c r="BZ207" s="583">
        <f t="shared" si="243"/>
        <v>1</v>
      </c>
      <c r="CA207" s="121">
        <f t="shared" si="244"/>
        <v>44713</v>
      </c>
      <c r="CB207" s="127">
        <f t="shared" si="245"/>
        <v>119.38231213016569</v>
      </c>
      <c r="CC207" s="15">
        <f t="shared" si="246"/>
        <v>4.7823310503713925</v>
      </c>
      <c r="CD207" s="98">
        <f t="shared" si="247"/>
        <v>1</v>
      </c>
      <c r="CE207" s="128">
        <f>IF(CD207&gt;0,15,0)</f>
        <v>15</v>
      </c>
      <c r="CF207" s="128">
        <f t="shared" si="248"/>
        <v>225</v>
      </c>
      <c r="CG207" s="15">
        <f t="shared" si="249"/>
        <v>71.734965755570883</v>
      </c>
      <c r="CH207" s="127">
        <f t="shared" ca="1" si="250"/>
        <v>4.6607667515917512</v>
      </c>
      <c r="CI207" s="127">
        <f t="shared" ca="1" si="256"/>
        <v>105.7171098508865</v>
      </c>
    </row>
    <row r="208" spans="24:87" x14ac:dyDescent="0.2">
      <c r="X208" s="121">
        <f t="shared" si="211"/>
        <v>44743</v>
      </c>
      <c r="Y208" s="73">
        <f t="shared" si="212"/>
        <v>114.10729288341315</v>
      </c>
      <c r="Z208" s="15">
        <f t="shared" si="213"/>
        <v>4.7371391714197824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75.794226742716518</v>
      </c>
      <c r="AE208" s="127">
        <f t="shared" ca="1" si="217"/>
        <v>4.6624908750402403</v>
      </c>
      <c r="AF208" s="127">
        <f t="shared" ca="1" si="251"/>
        <v>105.89953641665663</v>
      </c>
      <c r="AH208" s="121">
        <f t="shared" si="218"/>
        <v>44743</v>
      </c>
      <c r="AI208" s="73">
        <f t="shared" si="219"/>
        <v>121.6610274610419</v>
      </c>
      <c r="AJ208" s="15">
        <f t="shared" si="220"/>
        <v>4.8012387142049322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76.819819427278915</v>
      </c>
      <c r="AO208" s="127">
        <f t="shared" ca="1" si="224"/>
        <v>4.6665250274341572</v>
      </c>
      <c r="AP208" s="127">
        <f t="shared" ca="1" si="252"/>
        <v>106.3276141698947</v>
      </c>
      <c r="AR208" s="121">
        <f t="shared" si="225"/>
        <v>44743</v>
      </c>
      <c r="AS208" s="73">
        <f t="shared" si="257"/>
        <v>121.6610274610419</v>
      </c>
      <c r="AT208" s="15">
        <f t="shared" si="226"/>
        <v>4.8012387142049322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76.819819427278915</v>
      </c>
      <c r="AY208" s="127">
        <f t="shared" ca="1" si="230"/>
        <v>4.6555681183623649</v>
      </c>
      <c r="AZ208" s="127">
        <f t="shared" ca="1" si="253"/>
        <v>105.16895144249325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4.6659309937597877</v>
      </c>
      <c r="BJ208" s="127">
        <f t="shared" ca="1" si="254"/>
        <v>106.26447074308015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4.5685631380159188</v>
      </c>
      <c r="BT208" s="127">
        <f t="shared" ca="1" si="255"/>
        <v>96.405488825159466</v>
      </c>
      <c r="BZ208" s="583">
        <f t="shared" si="243"/>
        <v>1</v>
      </c>
      <c r="CA208" s="121">
        <f t="shared" si="244"/>
        <v>44743</v>
      </c>
      <c r="CB208" s="127">
        <f t="shared" si="245"/>
        <v>121.6610274610419</v>
      </c>
      <c r="CC208" s="15">
        <f t="shared" si="246"/>
        <v>4.8012387142049322</v>
      </c>
      <c r="CD208" s="98">
        <f t="shared" si="247"/>
        <v>1</v>
      </c>
      <c r="CE208" s="128">
        <f>IF(CD208&gt;0,16,0)</f>
        <v>16</v>
      </c>
      <c r="CF208" s="128">
        <f t="shared" si="248"/>
        <v>256</v>
      </c>
      <c r="CG208" s="15">
        <f t="shared" si="249"/>
        <v>76.819819427278915</v>
      </c>
      <c r="CH208" s="127">
        <f t="shared" ca="1" si="250"/>
        <v>4.6607667515917512</v>
      </c>
      <c r="CI208" s="127">
        <f t="shared" ca="1" si="256"/>
        <v>105.7171098508865</v>
      </c>
    </row>
    <row r="209" spans="24:87" x14ac:dyDescent="0.2">
      <c r="X209" s="121">
        <f t="shared" si="211"/>
        <v>44774</v>
      </c>
      <c r="Y209" s="73">
        <f t="shared" si="212"/>
        <v>129.16391567246009</v>
      </c>
      <c r="Z209" s="15">
        <f t="shared" si="213"/>
        <v>4.8610822618788223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82.638398451939977</v>
      </c>
      <c r="AE209" s="127">
        <f t="shared" ca="1" si="217"/>
        <v>4.6624908750402403</v>
      </c>
      <c r="AF209" s="127">
        <f t="shared" ca="1" si="251"/>
        <v>105.89953641665663</v>
      </c>
      <c r="AH209" s="121">
        <f t="shared" si="218"/>
        <v>44774</v>
      </c>
      <c r="AI209" s="73">
        <f t="shared" si="219"/>
        <v>122.30571863485011</v>
      </c>
      <c r="AJ209" s="15">
        <f t="shared" si="220"/>
        <v>4.8065238006747721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81.710904611471122</v>
      </c>
      <c r="AO209" s="127">
        <f t="shared" ca="1" si="224"/>
        <v>4.6665250274341572</v>
      </c>
      <c r="AP209" s="127">
        <f t="shared" ca="1" si="252"/>
        <v>106.3276141698947</v>
      </c>
      <c r="AR209" s="121">
        <f t="shared" si="225"/>
        <v>44774</v>
      </c>
      <c r="AS209" s="73">
        <f t="shared" si="257"/>
        <v>122.30571863485011</v>
      </c>
      <c r="AT209" s="15">
        <f t="shared" si="226"/>
        <v>4.8065238006747721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81.710904611471122</v>
      </c>
      <c r="AY209" s="127">
        <f t="shared" ca="1" si="230"/>
        <v>4.6555681183623649</v>
      </c>
      <c r="AZ209" s="127">
        <f t="shared" ca="1" si="253"/>
        <v>105.16895144249325</v>
      </c>
      <c r="BB209" s="121">
        <f t="shared" si="231"/>
        <v>44774</v>
      </c>
      <c r="BC209" s="73">
        <f t="shared" ref="BC209:BC226" si="258">+$AI209</f>
        <v>122.30571863485011</v>
      </c>
      <c r="BD209" s="15">
        <f t="shared" si="232"/>
        <v>4.8065238006747721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81.710904611471122</v>
      </c>
      <c r="BI209" s="127">
        <f t="shared" ca="1" si="236"/>
        <v>4.6659309937597877</v>
      </c>
      <c r="BJ209" s="127">
        <f t="shared" ca="1" si="254"/>
        <v>106.26447074308015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4.5685631380159188</v>
      </c>
      <c r="BT209" s="127">
        <f t="shared" ca="1" si="255"/>
        <v>96.405488825159466</v>
      </c>
      <c r="BZ209" s="583">
        <f t="shared" si="243"/>
        <v>1</v>
      </c>
      <c r="CA209" s="121">
        <f t="shared" si="244"/>
        <v>44774</v>
      </c>
      <c r="CB209" s="127">
        <f t="shared" si="245"/>
        <v>122.30571863485011</v>
      </c>
      <c r="CC209" s="15">
        <f t="shared" si="246"/>
        <v>4.8065238006747721</v>
      </c>
      <c r="CD209" s="98">
        <f t="shared" si="247"/>
        <v>1</v>
      </c>
      <c r="CE209" s="128">
        <f>IF(CD209&gt;0,17,0)</f>
        <v>17</v>
      </c>
      <c r="CF209" s="128">
        <f t="shared" si="248"/>
        <v>289</v>
      </c>
      <c r="CG209" s="15">
        <f t="shared" si="249"/>
        <v>81.710904611471122</v>
      </c>
      <c r="CH209" s="127">
        <f t="shared" ca="1" si="250"/>
        <v>4.6607667515917512</v>
      </c>
      <c r="CI209" s="127">
        <f t="shared" ca="1" si="256"/>
        <v>105.7171098508865</v>
      </c>
    </row>
    <row r="210" spans="24:87" x14ac:dyDescent="0.2">
      <c r="X210" s="121">
        <f t="shared" si="211"/>
        <v>44805</v>
      </c>
      <c r="Y210" s="73">
        <f t="shared" si="212"/>
        <v>125.48836903657812</v>
      </c>
      <c r="Z210" s="15">
        <f t="shared" si="213"/>
        <v>4.8322130772776823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86.979835390998289</v>
      </c>
      <c r="AE210" s="127">
        <f t="shared" ca="1" si="217"/>
        <v>4.6624908750402403</v>
      </c>
      <c r="AF210" s="127">
        <f t="shared" ca="1" si="251"/>
        <v>105.89953641665663</v>
      </c>
      <c r="AH210" s="121">
        <f t="shared" si="218"/>
        <v>44805</v>
      </c>
      <c r="AI210" s="73">
        <f t="shared" si="219"/>
        <v>122.56748305125792</v>
      </c>
      <c r="AJ210" s="15">
        <f t="shared" si="220"/>
        <v>4.8086617603560526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86.555911686408948</v>
      </c>
      <c r="AO210" s="127">
        <f t="shared" ca="1" si="224"/>
        <v>4.6665250274341572</v>
      </c>
      <c r="AP210" s="127">
        <f t="shared" ca="1" si="252"/>
        <v>106.3276141698947</v>
      </c>
      <c r="AR210" s="121">
        <f t="shared" si="225"/>
        <v>44805</v>
      </c>
      <c r="AS210" s="73">
        <f t="shared" si="257"/>
        <v>122.56748305125792</v>
      </c>
      <c r="AT210" s="15">
        <f t="shared" si="226"/>
        <v>4.8086617603560526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86.555911686408948</v>
      </c>
      <c r="AY210" s="127">
        <f t="shared" ca="1" si="230"/>
        <v>4.6555681183623649</v>
      </c>
      <c r="AZ210" s="127">
        <f t="shared" ca="1" si="253"/>
        <v>105.16895144249325</v>
      </c>
      <c r="BB210" s="121">
        <f t="shared" si="231"/>
        <v>44805</v>
      </c>
      <c r="BC210" s="73">
        <f t="shared" si="258"/>
        <v>122.56748305125792</v>
      </c>
      <c r="BD210" s="15">
        <f t="shared" si="232"/>
        <v>4.8086617603560526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86.555911686408948</v>
      </c>
      <c r="BI210" s="127">
        <f t="shared" ca="1" si="236"/>
        <v>4.6659309937597877</v>
      </c>
      <c r="BJ210" s="127">
        <f t="shared" ca="1" si="254"/>
        <v>106.26447074308015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4.5685631380159188</v>
      </c>
      <c r="BT210" s="127">
        <f t="shared" ca="1" si="255"/>
        <v>96.405488825159466</v>
      </c>
      <c r="BZ210" s="583">
        <f t="shared" si="243"/>
        <v>1</v>
      </c>
      <c r="CA210" s="121">
        <f t="shared" si="244"/>
        <v>44805</v>
      </c>
      <c r="CB210" s="127">
        <f t="shared" si="245"/>
        <v>122.56748305125792</v>
      </c>
      <c r="CC210" s="15">
        <f t="shared" si="246"/>
        <v>4.8086617603560526</v>
      </c>
      <c r="CD210" s="98">
        <f t="shared" si="247"/>
        <v>1</v>
      </c>
      <c r="CE210" s="128">
        <f>IF(CD210&gt;0,18,0)</f>
        <v>18</v>
      </c>
      <c r="CF210" s="128">
        <f t="shared" si="248"/>
        <v>324</v>
      </c>
      <c r="CG210" s="15">
        <f t="shared" si="249"/>
        <v>86.555911686408948</v>
      </c>
      <c r="CH210" s="127">
        <f t="shared" ca="1" si="250"/>
        <v>4.6607667515917512</v>
      </c>
      <c r="CI210" s="127">
        <f t="shared" ca="1" si="256"/>
        <v>105.7171098508865</v>
      </c>
    </row>
    <row r="211" spans="24:87" x14ac:dyDescent="0.2">
      <c r="X211" s="121">
        <f t="shared" si="211"/>
        <v>44835</v>
      </c>
      <c r="Y211" s="73">
        <f t="shared" si="212"/>
        <v>127.23851035141863</v>
      </c>
      <c r="Z211" s="15">
        <f t="shared" si="213"/>
        <v>4.8460633594202278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92.075203828984328</v>
      </c>
      <c r="AE211" s="127">
        <f t="shared" ca="1" si="217"/>
        <v>4.6624908750402403</v>
      </c>
      <c r="AF211" s="127">
        <f t="shared" ca="1" si="251"/>
        <v>105.89953641665663</v>
      </c>
      <c r="AH211" s="121">
        <f t="shared" si="218"/>
        <v>44835</v>
      </c>
      <c r="AI211" s="73">
        <f t="shared" si="219"/>
        <v>122.88523022526658</v>
      </c>
      <c r="AJ211" s="15">
        <f t="shared" si="220"/>
        <v>4.8112508321757366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91.41376581133899</v>
      </c>
      <c r="AO211" s="127">
        <f t="shared" ca="1" si="224"/>
        <v>4.6665250274341572</v>
      </c>
      <c r="AP211" s="127">
        <f t="shared" ca="1" si="252"/>
        <v>106.3276141698947</v>
      </c>
      <c r="AR211" s="121">
        <f t="shared" si="225"/>
        <v>44835</v>
      </c>
      <c r="AS211" s="73">
        <f t="shared" si="257"/>
        <v>122.88523022526658</v>
      </c>
      <c r="AT211" s="15">
        <f t="shared" si="226"/>
        <v>4.8112508321757366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91.41376581133899</v>
      </c>
      <c r="AY211" s="127">
        <f t="shared" ca="1" si="230"/>
        <v>4.6555681183623649</v>
      </c>
      <c r="AZ211" s="127">
        <f t="shared" ca="1" si="253"/>
        <v>105.16895144249325</v>
      </c>
      <c r="BB211" s="121">
        <f t="shared" si="231"/>
        <v>44835</v>
      </c>
      <c r="BC211" s="73">
        <f t="shared" si="258"/>
        <v>122.88523022526658</v>
      </c>
      <c r="BD211" s="15">
        <f t="shared" si="232"/>
        <v>4.8112508321757366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91.41376581133899</v>
      </c>
      <c r="BI211" s="127">
        <f t="shared" ca="1" si="236"/>
        <v>4.6659309937597877</v>
      </c>
      <c r="BJ211" s="127">
        <f t="shared" ca="1" si="254"/>
        <v>106.26447074308015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4.5685631380159188</v>
      </c>
      <c r="BT211" s="127">
        <f t="shared" ca="1" si="255"/>
        <v>96.405488825159466</v>
      </c>
      <c r="BZ211" s="583">
        <f t="shared" si="243"/>
        <v>1</v>
      </c>
      <c r="CA211" s="121">
        <f t="shared" si="244"/>
        <v>44835</v>
      </c>
      <c r="CB211" s="127">
        <f t="shared" si="245"/>
        <v>122.88523022526658</v>
      </c>
      <c r="CC211" s="15">
        <f t="shared" si="246"/>
        <v>4.8112508321757366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91.41376581133899</v>
      </c>
      <c r="CH211" s="127">
        <f t="shared" ca="1" si="250"/>
        <v>4.6607667515917512</v>
      </c>
      <c r="CI211" s="127">
        <f t="shared" ca="1" si="256"/>
        <v>105.7171098508865</v>
      </c>
    </row>
    <row r="212" spans="24:87" x14ac:dyDescent="0.2">
      <c r="X212" s="121">
        <f t="shared" si="211"/>
        <v>44866</v>
      </c>
      <c r="Y212" s="73">
        <f t="shared" si="212"/>
        <v>119.53416202431487</v>
      </c>
      <c r="Z212" s="15">
        <f t="shared" si="213"/>
        <v>4.7836022051976439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95.672044103952885</v>
      </c>
      <c r="AE212" s="127">
        <f t="shared" ca="1" si="217"/>
        <v>4.6624908750402403</v>
      </c>
      <c r="AF212" s="127">
        <f t="shared" ca="1" si="251"/>
        <v>105.89953641665663</v>
      </c>
      <c r="AH212" s="121">
        <f t="shared" si="218"/>
        <v>44866</v>
      </c>
      <c r="AI212" s="73">
        <f t="shared" si="219"/>
        <v>120.93742153691777</v>
      </c>
      <c r="AJ212" s="15">
        <f t="shared" si="220"/>
        <v>4.7952732344335462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95.905464688670918</v>
      </c>
      <c r="AO212" s="127">
        <f t="shared" ca="1" si="224"/>
        <v>4.6665250274341572</v>
      </c>
      <c r="AP212" s="127">
        <f t="shared" ca="1" si="252"/>
        <v>106.3276141698947</v>
      </c>
      <c r="AR212" s="121">
        <f t="shared" si="225"/>
        <v>44866</v>
      </c>
      <c r="AS212" s="73">
        <f t="shared" si="257"/>
        <v>120.93742153691777</v>
      </c>
      <c r="AT212" s="15">
        <f t="shared" si="226"/>
        <v>4.7952732344335462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95.905464688670918</v>
      </c>
      <c r="AY212" s="127">
        <f t="shared" ca="1" si="230"/>
        <v>4.6555681183623649</v>
      </c>
      <c r="AZ212" s="127">
        <f t="shared" ca="1" si="253"/>
        <v>105.16895144249325</v>
      </c>
      <c r="BB212" s="121">
        <f t="shared" si="231"/>
        <v>44866</v>
      </c>
      <c r="BC212" s="73">
        <f t="shared" si="258"/>
        <v>120.93742153691777</v>
      </c>
      <c r="BD212" s="15">
        <f t="shared" si="232"/>
        <v>4.7952732344335462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95.905464688670918</v>
      </c>
      <c r="BI212" s="127">
        <f t="shared" ca="1" si="236"/>
        <v>4.6659309937597877</v>
      </c>
      <c r="BJ212" s="127">
        <f t="shared" ca="1" si="254"/>
        <v>106.26447074308015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4.5685631380159188</v>
      </c>
      <c r="BT212" s="127">
        <f t="shared" ca="1" si="255"/>
        <v>96.405488825159466</v>
      </c>
      <c r="BZ212" s="583">
        <f t="shared" si="243"/>
        <v>1</v>
      </c>
      <c r="CA212" s="121">
        <f t="shared" si="244"/>
        <v>44866</v>
      </c>
      <c r="CB212" s="127">
        <f t="shared" si="245"/>
        <v>120.93742153691777</v>
      </c>
      <c r="CC212" s="15">
        <f t="shared" si="246"/>
        <v>4.7952732344335462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95.905464688670918</v>
      </c>
      <c r="CH212" s="127">
        <f t="shared" ca="1" si="250"/>
        <v>4.6607667515917512</v>
      </c>
      <c r="CI212" s="127">
        <f t="shared" ca="1" si="256"/>
        <v>105.7171098508865</v>
      </c>
    </row>
    <row r="213" spans="24:87" x14ac:dyDescent="0.2">
      <c r="X213" s="121">
        <f t="shared" si="211"/>
        <v>44896</v>
      </c>
      <c r="Y213" s="73">
        <f t="shared" si="212"/>
        <v>119.87264833936263</v>
      </c>
      <c r="Z213" s="15">
        <f t="shared" si="213"/>
        <v>4.7864299154041889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100.51502822348797</v>
      </c>
      <c r="AE213" s="127">
        <f t="shared" ca="1" si="217"/>
        <v>4.6624908750402403</v>
      </c>
      <c r="AF213" s="127">
        <f t="shared" ca="1" si="251"/>
        <v>105.89953641665663</v>
      </c>
      <c r="AH213" s="121">
        <f t="shared" si="218"/>
        <v>44896</v>
      </c>
      <c r="AI213" s="73">
        <f t="shared" si="219"/>
        <v>122.28335798331818</v>
      </c>
      <c r="AJ213" s="15">
        <f t="shared" si="220"/>
        <v>4.8063409580727772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100.93316011952832</v>
      </c>
      <c r="AO213" s="127">
        <f t="shared" ca="1" si="224"/>
        <v>4.6665250274341572</v>
      </c>
      <c r="AP213" s="127">
        <f t="shared" ca="1" si="252"/>
        <v>106.3276141698947</v>
      </c>
      <c r="AR213" s="121">
        <f t="shared" si="225"/>
        <v>44896</v>
      </c>
      <c r="AS213" s="73">
        <f t="shared" si="257"/>
        <v>122.28335798331818</v>
      </c>
      <c r="AT213" s="15">
        <f t="shared" si="226"/>
        <v>4.8063409580727772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100.93316011952832</v>
      </c>
      <c r="AY213" s="127">
        <f t="shared" ca="1" si="230"/>
        <v>4.6555681183623649</v>
      </c>
      <c r="AZ213" s="127">
        <f t="shared" ca="1" si="253"/>
        <v>105.16895144249325</v>
      </c>
      <c r="BB213" s="121">
        <f t="shared" si="231"/>
        <v>44896</v>
      </c>
      <c r="BC213" s="73">
        <f t="shared" si="258"/>
        <v>122.28335798331818</v>
      </c>
      <c r="BD213" s="15">
        <f t="shared" si="232"/>
        <v>4.8063409580727772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100.93316011952832</v>
      </c>
      <c r="BI213" s="127">
        <f t="shared" ca="1" si="236"/>
        <v>4.6659309937597877</v>
      </c>
      <c r="BJ213" s="127">
        <f t="shared" ca="1" si="254"/>
        <v>106.26447074308015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4.5685631380159188</v>
      </c>
      <c r="BT213" s="127">
        <f t="shared" ca="1" si="255"/>
        <v>96.405488825159466</v>
      </c>
      <c r="BZ213" s="583">
        <f t="shared" si="243"/>
        <v>1</v>
      </c>
      <c r="CA213" s="121">
        <f t="shared" si="244"/>
        <v>44896</v>
      </c>
      <c r="CB213" s="127">
        <f t="shared" si="245"/>
        <v>122.28335798331818</v>
      </c>
      <c r="CC213" s="15">
        <f t="shared" si="246"/>
        <v>4.8063409580727772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100.93316011952832</v>
      </c>
      <c r="CH213" s="127">
        <f t="shared" ca="1" si="250"/>
        <v>4.6607667515917512</v>
      </c>
      <c r="CI213" s="127">
        <f t="shared" ca="1" si="256"/>
        <v>105.7171098508865</v>
      </c>
    </row>
    <row r="214" spans="24:87" x14ac:dyDescent="0.2">
      <c r="X214" s="121">
        <f t="shared" si="211"/>
        <v>44927</v>
      </c>
      <c r="Y214" s="73">
        <f t="shared" si="212"/>
        <v>116.01377592746509</v>
      </c>
      <c r="Z214" s="15">
        <f t="shared" si="213"/>
        <v>4.7537089420505811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104.58159672511279</v>
      </c>
      <c r="AE214" s="127">
        <f t="shared" ca="1" si="217"/>
        <v>4.6624908750402403</v>
      </c>
      <c r="AF214" s="127">
        <f t="shared" ca="1" si="251"/>
        <v>105.89953641665663</v>
      </c>
      <c r="AH214" s="121">
        <f t="shared" si="218"/>
        <v>44927</v>
      </c>
      <c r="AI214" s="73">
        <f t="shared" ca="1" si="219"/>
        <v>120.8446009189651</v>
      </c>
      <c r="AJ214" s="15">
        <f t="shared" ca="1" si="220"/>
        <v>4.794505430263742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105.47911946580233</v>
      </c>
      <c r="AO214" s="127">
        <f t="shared" ca="1" si="224"/>
        <v>4.6665250274341572</v>
      </c>
      <c r="AP214" s="127">
        <f t="shared" ca="1" si="252"/>
        <v>106.3276141698947</v>
      </c>
      <c r="AR214" s="121">
        <f t="shared" si="225"/>
        <v>44927</v>
      </c>
      <c r="AS214" s="73">
        <f t="shared" ca="1" si="257"/>
        <v>120.8446009189651</v>
      </c>
      <c r="AT214" s="15">
        <f t="shared" ca="1" si="226"/>
        <v>4.794505430263742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105.47911946580233</v>
      </c>
      <c r="AY214" s="127">
        <f t="shared" ca="1" si="230"/>
        <v>4.6555681183623649</v>
      </c>
      <c r="AZ214" s="127">
        <f t="shared" ca="1" si="253"/>
        <v>105.16895144249325</v>
      </c>
      <c r="BB214" s="121">
        <f t="shared" si="231"/>
        <v>44927</v>
      </c>
      <c r="BC214" s="73">
        <f t="shared" ca="1" si="258"/>
        <v>120.8446009189651</v>
      </c>
      <c r="BD214" s="15">
        <f t="shared" ca="1" si="232"/>
        <v>4.794505430263742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105.47911946580233</v>
      </c>
      <c r="BI214" s="127">
        <f t="shared" ca="1" si="236"/>
        <v>4.6659309937597877</v>
      </c>
      <c r="BJ214" s="127">
        <f t="shared" ca="1" si="254"/>
        <v>106.26447074308015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4.5685631380159188</v>
      </c>
      <c r="BT214" s="127">
        <f t="shared" ca="1" si="255"/>
        <v>96.405488825159466</v>
      </c>
      <c r="BZ214" s="583">
        <f t="shared" si="243"/>
        <v>1</v>
      </c>
      <c r="CA214" s="121">
        <f t="shared" si="244"/>
        <v>44927</v>
      </c>
      <c r="CB214" s="127">
        <f t="shared" ca="1" si="245"/>
        <v>120.8446009189651</v>
      </c>
      <c r="CC214" s="15">
        <f t="shared" ca="1" si="246"/>
        <v>4.794505430263742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105.47911946580233</v>
      </c>
      <c r="CH214" s="127">
        <f t="shared" ca="1" si="250"/>
        <v>4.6607667515917512</v>
      </c>
      <c r="CI214" s="127">
        <f t="shared" ca="1" si="256"/>
        <v>105.7171098508865</v>
      </c>
    </row>
    <row r="215" spans="24:87" x14ac:dyDescent="0.2">
      <c r="X215" s="121">
        <f t="shared" si="211"/>
        <v>44958</v>
      </c>
      <c r="Y215" s="73">
        <f t="shared" si="212"/>
        <v>117.47706354236719</v>
      </c>
      <c r="Z215" s="15">
        <f t="shared" si="213"/>
        <v>4.7662431106347061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109.62359154459824</v>
      </c>
      <c r="AE215" s="127">
        <f t="shared" ca="1" si="217"/>
        <v>4.6624908750402403</v>
      </c>
      <c r="AF215" s="127">
        <f t="shared" ca="1" si="251"/>
        <v>105.89953641665663</v>
      </c>
      <c r="AH215" s="121">
        <f t="shared" si="218"/>
        <v>44958</v>
      </c>
      <c r="AI215" s="73">
        <f t="shared" ca="1" si="219"/>
        <v>121.64511381178606</v>
      </c>
      <c r="AJ215" s="15">
        <f t="shared" ca="1" si="220"/>
        <v>4.8011079024695995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110.42548175680079</v>
      </c>
      <c r="AO215" s="127">
        <f t="shared" ca="1" si="224"/>
        <v>4.6665250274341572</v>
      </c>
      <c r="AP215" s="127">
        <f t="shared" ca="1" si="252"/>
        <v>106.3276141698947</v>
      </c>
      <c r="AR215" s="121">
        <f t="shared" si="225"/>
        <v>44958</v>
      </c>
      <c r="AS215" s="73">
        <f t="shared" ca="1" si="257"/>
        <v>121.64511381178606</v>
      </c>
      <c r="AT215" s="15">
        <f t="shared" ca="1" si="226"/>
        <v>4.8011079024695995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110.42548175680079</v>
      </c>
      <c r="AY215" s="127">
        <f t="shared" ca="1" si="230"/>
        <v>4.6555681183623649</v>
      </c>
      <c r="AZ215" s="127">
        <f t="shared" ca="1" si="253"/>
        <v>105.16895144249325</v>
      </c>
      <c r="BB215" s="121">
        <f t="shared" si="231"/>
        <v>44958</v>
      </c>
      <c r="BC215" s="73">
        <f t="shared" ca="1" si="258"/>
        <v>121.64511381178606</v>
      </c>
      <c r="BD215" s="15">
        <f t="shared" ca="1" si="232"/>
        <v>4.8011079024695995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110.42548175680079</v>
      </c>
      <c r="BI215" s="127">
        <f t="shared" ca="1" si="236"/>
        <v>4.6659309937597877</v>
      </c>
      <c r="BJ215" s="127">
        <f t="shared" ca="1" si="254"/>
        <v>106.26447074308015</v>
      </c>
      <c r="BL215" s="121">
        <f t="shared" si="237"/>
        <v>44958</v>
      </c>
      <c r="BM215" s="73">
        <f t="shared" ref="BM215:BM226" ca="1" si="259">+$AI215</f>
        <v>121.64511381178606</v>
      </c>
      <c r="BN215" s="15">
        <f t="shared" ca="1" si="238"/>
        <v>4.8011079024695995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110.42548175680079</v>
      </c>
      <c r="BS215" s="127">
        <f t="shared" ca="1" si="242"/>
        <v>4.5685631380159188</v>
      </c>
      <c r="BT215" s="127">
        <f t="shared" ca="1" si="255"/>
        <v>96.405488825159466</v>
      </c>
      <c r="BZ215" s="583">
        <f t="shared" si="243"/>
        <v>1</v>
      </c>
      <c r="CA215" s="121">
        <f t="shared" si="244"/>
        <v>44958</v>
      </c>
      <c r="CB215" s="127">
        <f t="shared" ca="1" si="245"/>
        <v>121.64511381178606</v>
      </c>
      <c r="CC215" s="15">
        <f t="shared" ca="1" si="246"/>
        <v>4.8011079024695995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110.42548175680079</v>
      </c>
      <c r="CH215" s="127">
        <f t="shared" ca="1" si="250"/>
        <v>4.6607667515917512</v>
      </c>
      <c r="CI215" s="127">
        <f t="shared" ca="1" si="256"/>
        <v>105.7171098508865</v>
      </c>
    </row>
    <row r="216" spans="24:87" x14ac:dyDescent="0.2">
      <c r="X216" s="121">
        <f t="shared" si="211"/>
        <v>44986</v>
      </c>
      <c r="Y216" s="73">
        <f t="shared" si="212"/>
        <v>133.5639877149807</v>
      </c>
      <c r="Z216" s="15">
        <f t="shared" si="213"/>
        <v>4.8945806717350155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117.46993612164037</v>
      </c>
      <c r="AE216" s="127">
        <f t="shared" ca="1" si="217"/>
        <v>4.6624908750402403</v>
      </c>
      <c r="AF216" s="127">
        <f t="shared" ca="1" si="251"/>
        <v>105.89953641665663</v>
      </c>
      <c r="AH216" s="121">
        <f t="shared" si="218"/>
        <v>44986</v>
      </c>
      <c r="AI216" s="73">
        <f t="shared" ca="1" si="219"/>
        <v>122.7546048711114</v>
      </c>
      <c r="AJ216" s="15">
        <f t="shared" ca="1" si="220"/>
        <v>4.8101872801959296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115.44449472470231</v>
      </c>
      <c r="AO216" s="127">
        <f t="shared" ca="1" si="224"/>
        <v>4.6665250274341572</v>
      </c>
      <c r="AP216" s="127">
        <f t="shared" ca="1" si="252"/>
        <v>106.3276141698947</v>
      </c>
      <c r="AR216" s="121">
        <f t="shared" si="225"/>
        <v>44986</v>
      </c>
      <c r="AS216" s="73">
        <f t="shared" ca="1" si="257"/>
        <v>122.7546048711114</v>
      </c>
      <c r="AT216" s="15">
        <f t="shared" ca="1" si="226"/>
        <v>4.8101872801959296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115.44449472470231</v>
      </c>
      <c r="AY216" s="127">
        <f t="shared" ca="1" si="230"/>
        <v>4.6555681183623649</v>
      </c>
      <c r="AZ216" s="127">
        <f t="shared" ca="1" si="253"/>
        <v>105.16895144249325</v>
      </c>
      <c r="BB216" s="121">
        <f t="shared" si="231"/>
        <v>44986</v>
      </c>
      <c r="BC216" s="73">
        <f t="shared" ca="1" si="258"/>
        <v>122.7546048711114</v>
      </c>
      <c r="BD216" s="15">
        <f t="shared" ca="1" si="232"/>
        <v>4.8101872801959296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115.44449472470231</v>
      </c>
      <c r="BI216" s="127">
        <f t="shared" ca="1" si="236"/>
        <v>4.6659309937597877</v>
      </c>
      <c r="BJ216" s="127">
        <f t="shared" ca="1" si="254"/>
        <v>106.26447074308015</v>
      </c>
      <c r="BL216" s="121">
        <f t="shared" si="237"/>
        <v>44986</v>
      </c>
      <c r="BM216" s="73">
        <f t="shared" ca="1" si="259"/>
        <v>122.7546048711114</v>
      </c>
      <c r="BN216" s="15">
        <f t="shared" ca="1" si="238"/>
        <v>4.8101872801959296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115.44449472470231</v>
      </c>
      <c r="BS216" s="127">
        <f t="shared" ca="1" si="242"/>
        <v>4.5685631380159188</v>
      </c>
      <c r="BT216" s="127">
        <f t="shared" ca="1" si="255"/>
        <v>96.405488825159466</v>
      </c>
      <c r="BZ216" s="583">
        <f t="shared" si="243"/>
        <v>1</v>
      </c>
      <c r="CA216" s="121">
        <f t="shared" si="244"/>
        <v>44986</v>
      </c>
      <c r="CB216" s="127">
        <f t="shared" ca="1" si="245"/>
        <v>122.7546048711114</v>
      </c>
      <c r="CC216" s="15">
        <f t="shared" ca="1" si="246"/>
        <v>4.8101872801959296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115.44449472470231</v>
      </c>
      <c r="CH216" s="127">
        <f t="shared" ca="1" si="250"/>
        <v>4.6607667515917512</v>
      </c>
      <c r="CI216" s="127">
        <f t="shared" ca="1" si="256"/>
        <v>105.7171098508865</v>
      </c>
    </row>
    <row r="217" spans="24:87" x14ac:dyDescent="0.2">
      <c r="X217" s="121">
        <f t="shared" si="211"/>
        <v>45017</v>
      </c>
      <c r="Y217" s="73">
        <f t="shared" ca="1" si="212"/>
        <v>118.6059679653001</v>
      </c>
      <c r="Z217" s="15">
        <f t="shared" ca="1" si="213"/>
        <v>4.7758068054097533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119.39517013524383</v>
      </c>
      <c r="AE217" s="127">
        <f t="shared" ca="1" si="217"/>
        <v>4.6624908750402403</v>
      </c>
      <c r="AF217" s="127">
        <f t="shared" ca="1" si="251"/>
        <v>105.89953641665663</v>
      </c>
      <c r="AH217" s="121">
        <f t="shared" si="218"/>
        <v>45017</v>
      </c>
      <c r="AI217" s="73">
        <f t="shared" ca="1" si="219"/>
        <v>123.9240819946706</v>
      </c>
      <c r="AJ217" s="15">
        <f t="shared" ca="1" si="220"/>
        <v>4.8196691361299209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120.49172840324802</v>
      </c>
      <c r="AO217" s="127">
        <f t="shared" ca="1" si="224"/>
        <v>4.6665250274341572</v>
      </c>
      <c r="AP217" s="127">
        <f t="shared" ca="1" si="252"/>
        <v>106.3276141698947</v>
      </c>
      <c r="AR217" s="121">
        <f t="shared" si="225"/>
        <v>45017</v>
      </c>
      <c r="AS217" s="73">
        <f t="shared" ca="1" si="257"/>
        <v>123.9240819946706</v>
      </c>
      <c r="AT217" s="15">
        <f t="shared" ca="1" si="226"/>
        <v>4.8196691361299209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120.49172840324802</v>
      </c>
      <c r="AY217" s="127">
        <f t="shared" ca="1" si="230"/>
        <v>4.6555681183623649</v>
      </c>
      <c r="AZ217" s="127">
        <f t="shared" ca="1" si="253"/>
        <v>105.16895144249325</v>
      </c>
      <c r="BB217" s="121">
        <f t="shared" si="231"/>
        <v>45017</v>
      </c>
      <c r="BC217" s="73">
        <f t="shared" ca="1" si="258"/>
        <v>123.9240819946706</v>
      </c>
      <c r="BD217" s="15">
        <f t="shared" ca="1" si="232"/>
        <v>4.8196691361299209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120.49172840324802</v>
      </c>
      <c r="BI217" s="127">
        <f t="shared" ca="1" si="236"/>
        <v>4.6659309937597877</v>
      </c>
      <c r="BJ217" s="127">
        <f t="shared" ca="1" si="254"/>
        <v>106.26447074308015</v>
      </c>
      <c r="BL217" s="121">
        <f t="shared" si="237"/>
        <v>45017</v>
      </c>
      <c r="BM217" s="73">
        <f t="shared" ca="1" si="259"/>
        <v>123.9240819946706</v>
      </c>
      <c r="BN217" s="15">
        <f t="shared" ca="1" si="238"/>
        <v>4.8196691361299209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120.49172840324802</v>
      </c>
      <c r="BS217" s="127">
        <f t="shared" ca="1" si="242"/>
        <v>4.5685631380159188</v>
      </c>
      <c r="BT217" s="127">
        <f t="shared" ca="1" si="255"/>
        <v>96.405488825159466</v>
      </c>
      <c r="BZ217" s="583">
        <f t="shared" si="243"/>
        <v>1</v>
      </c>
      <c r="CA217" s="121">
        <f t="shared" si="244"/>
        <v>45017</v>
      </c>
      <c r="CB217" s="127">
        <f t="shared" ca="1" si="245"/>
        <v>123.9240819946706</v>
      </c>
      <c r="CC217" s="15">
        <f t="shared" ca="1" si="246"/>
        <v>4.8196691361299209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120.49172840324802</v>
      </c>
      <c r="CH217" s="127">
        <f t="shared" ca="1" si="250"/>
        <v>4.6607667515917512</v>
      </c>
      <c r="CI217" s="127">
        <f t="shared" ca="1" si="256"/>
        <v>105.7171098508865</v>
      </c>
    </row>
    <row r="218" spans="24:87" x14ac:dyDescent="0.2">
      <c r="X218" s="121">
        <f t="shared" si="211"/>
        <v>45047</v>
      </c>
      <c r="Y218" s="73">
        <f t="shared" ca="1" si="212"/>
        <v>124.33723938124062</v>
      </c>
      <c r="Z218" s="15">
        <f t="shared" ca="1" si="213"/>
        <v>4.8229975464171471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125.39793620684583</v>
      </c>
      <c r="AE218" s="127">
        <f t="shared" ca="1" si="217"/>
        <v>4.6624908750402403</v>
      </c>
      <c r="AF218" s="127">
        <f t="shared" ca="1" si="251"/>
        <v>105.89953641665663</v>
      </c>
      <c r="AH218" s="121">
        <f t="shared" si="218"/>
        <v>45047</v>
      </c>
      <c r="AI218" s="73">
        <f t="shared" ca="1" si="219"/>
        <v>126.67694316641909</v>
      </c>
      <c r="AJ218" s="15">
        <f t="shared" ca="1" si="220"/>
        <v>4.8416400910226436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125.88264236658873</v>
      </c>
      <c r="AO218" s="127">
        <f t="shared" ca="1" si="224"/>
        <v>4.6665250274341572</v>
      </c>
      <c r="AP218" s="127">
        <f t="shared" ca="1" si="252"/>
        <v>106.3276141698947</v>
      </c>
      <c r="AR218" s="121">
        <f t="shared" si="225"/>
        <v>45047</v>
      </c>
      <c r="AS218" s="73">
        <f t="shared" ca="1" si="257"/>
        <v>126.67694316641909</v>
      </c>
      <c r="AT218" s="15">
        <f t="shared" ca="1" si="226"/>
        <v>4.8416400910226436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125.88264236658873</v>
      </c>
      <c r="AY218" s="127">
        <f t="shared" ca="1" si="230"/>
        <v>4.6555681183623649</v>
      </c>
      <c r="AZ218" s="127">
        <f t="shared" ca="1" si="253"/>
        <v>105.16895144249325</v>
      </c>
      <c r="BB218" s="121">
        <f t="shared" si="231"/>
        <v>45047</v>
      </c>
      <c r="BC218" s="73">
        <f t="shared" ca="1" si="258"/>
        <v>126.67694316641909</v>
      </c>
      <c r="BD218" s="15">
        <f t="shared" ca="1" si="232"/>
        <v>4.8416400910226436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125.88264236658873</v>
      </c>
      <c r="BI218" s="127">
        <f t="shared" ca="1" si="236"/>
        <v>4.6659309937597877</v>
      </c>
      <c r="BJ218" s="127">
        <f t="shared" ca="1" si="254"/>
        <v>106.26447074308015</v>
      </c>
      <c r="BL218" s="121">
        <f t="shared" si="237"/>
        <v>45047</v>
      </c>
      <c r="BM218" s="73">
        <f t="shared" ca="1" si="259"/>
        <v>126.67694316641909</v>
      </c>
      <c r="BN218" s="15">
        <f t="shared" ca="1" si="238"/>
        <v>4.8416400910226436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125.88264236658873</v>
      </c>
      <c r="BS218" s="127">
        <f t="shared" ca="1" si="242"/>
        <v>4.5685631380159188</v>
      </c>
      <c r="BT218" s="127">
        <f t="shared" ca="1" si="255"/>
        <v>96.405488825159466</v>
      </c>
      <c r="BZ218" s="583">
        <f t="shared" si="243"/>
        <v>1</v>
      </c>
      <c r="CA218" s="121">
        <f t="shared" si="244"/>
        <v>45047</v>
      </c>
      <c r="CB218" s="127">
        <f t="shared" ca="1" si="245"/>
        <v>126.67694316641909</v>
      </c>
      <c r="CC218" s="15">
        <f t="shared" ca="1" si="246"/>
        <v>4.8416400910226436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125.88264236658873</v>
      </c>
      <c r="CH218" s="127">
        <f t="shared" ca="1" si="250"/>
        <v>4.6607667515917512</v>
      </c>
      <c r="CI218" s="127">
        <f t="shared" ca="1" si="256"/>
        <v>105.7171098508865</v>
      </c>
    </row>
    <row r="219" spans="24:87" x14ac:dyDescent="0.2">
      <c r="X219" s="121">
        <f t="shared" si="211"/>
        <v>45078</v>
      </c>
      <c r="Y219" s="73">
        <f t="shared" ca="1" si="212"/>
        <v>126.52959469531471</v>
      </c>
      <c r="Z219" s="15">
        <f t="shared" ca="1" si="213"/>
        <v>4.840476230966094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130.69285823608453</v>
      </c>
      <c r="AE219" s="127">
        <f t="shared" ca="1" si="217"/>
        <v>4.6624908750402403</v>
      </c>
      <c r="AF219" s="127">
        <f t="shared" ca="1" si="251"/>
        <v>105.89953641665663</v>
      </c>
      <c r="AH219" s="121">
        <f t="shared" si="218"/>
        <v>45078</v>
      </c>
      <c r="AI219" s="73">
        <f t="shared" ca="1" si="219"/>
        <v>125.96616974760786</v>
      </c>
      <c r="AJ219" s="15">
        <f t="shared" ca="1" si="220"/>
        <v>4.8360133768338889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130.57236117451501</v>
      </c>
      <c r="AO219" s="127">
        <f t="shared" ca="1" si="224"/>
        <v>4.6665250274341572</v>
      </c>
      <c r="AP219" s="127">
        <f t="shared" ca="1" si="252"/>
        <v>106.3276141698947</v>
      </c>
      <c r="AR219" s="121">
        <f t="shared" si="225"/>
        <v>45078</v>
      </c>
      <c r="AS219" s="73">
        <f t="shared" ca="1" si="257"/>
        <v>125.96616974760786</v>
      </c>
      <c r="AT219" s="15">
        <f t="shared" ca="1" si="226"/>
        <v>4.8360133768338889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130.57236117451501</v>
      </c>
      <c r="AY219" s="127">
        <f t="shared" ca="1" si="230"/>
        <v>4.6555681183623649</v>
      </c>
      <c r="AZ219" s="127">
        <f t="shared" ca="1" si="253"/>
        <v>105.16895144249325</v>
      </c>
      <c r="BB219" s="121">
        <f t="shared" si="231"/>
        <v>45078</v>
      </c>
      <c r="BC219" s="73">
        <f t="shared" ca="1" si="258"/>
        <v>125.96616974760786</v>
      </c>
      <c r="BD219" s="15">
        <f t="shared" ca="1" si="232"/>
        <v>4.8360133768338889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130.57236117451501</v>
      </c>
      <c r="BI219" s="127">
        <f t="shared" ca="1" si="236"/>
        <v>4.6659309937597877</v>
      </c>
      <c r="BJ219" s="127">
        <f t="shared" ca="1" si="254"/>
        <v>106.26447074308015</v>
      </c>
      <c r="BL219" s="121">
        <f t="shared" si="237"/>
        <v>45078</v>
      </c>
      <c r="BM219" s="73">
        <f t="shared" ca="1" si="259"/>
        <v>125.96616974760786</v>
      </c>
      <c r="BN219" s="15">
        <f t="shared" ca="1" si="238"/>
        <v>4.8360133768338889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130.57236117451501</v>
      </c>
      <c r="BS219" s="127">
        <f t="shared" ca="1" si="242"/>
        <v>4.5685631380159188</v>
      </c>
      <c r="BT219" s="127">
        <f t="shared" ca="1" si="255"/>
        <v>96.405488825159466</v>
      </c>
      <c r="BZ219" s="583">
        <f t="shared" si="243"/>
        <v>1</v>
      </c>
      <c r="CA219" s="121">
        <f t="shared" si="244"/>
        <v>45078</v>
      </c>
      <c r="CB219" s="127">
        <f t="shared" ca="1" si="245"/>
        <v>125.96616974760786</v>
      </c>
      <c r="CC219" s="15">
        <f t="shared" ca="1" si="246"/>
        <v>4.8360133768338889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130.57236117451501</v>
      </c>
      <c r="CH219" s="127">
        <f t="shared" ca="1" si="250"/>
        <v>4.6607667515917512</v>
      </c>
      <c r="CI219" s="127">
        <f t="shared" ca="1" si="256"/>
        <v>105.7171098508865</v>
      </c>
    </row>
    <row r="220" spans="24:87" x14ac:dyDescent="0.2">
      <c r="X220" s="121">
        <f t="shared" si="211"/>
        <v>45108</v>
      </c>
      <c r="Y220" s="73">
        <f t="shared" ca="1" si="212"/>
        <v>123.03063866882034</v>
      </c>
      <c r="Z220" s="15">
        <f t="shared" ca="1" si="213"/>
        <v>4.8124334192219003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134.74813573821319</v>
      </c>
      <c r="AE220" s="127">
        <f t="shared" ca="1" si="217"/>
        <v>4.6624908750402403</v>
      </c>
      <c r="AF220" s="127">
        <f t="shared" ca="1" si="251"/>
        <v>105.89953641665663</v>
      </c>
      <c r="AH220" s="121">
        <f t="shared" si="218"/>
        <v>45108</v>
      </c>
      <c r="AI220" s="73">
        <f t="shared" ca="1" si="219"/>
        <v>131.05151867310096</v>
      </c>
      <c r="AJ220" s="15">
        <f t="shared" ca="1" si="220"/>
        <v>4.8755905182036114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136.51653450970113</v>
      </c>
      <c r="AO220" s="127">
        <f t="shared" ca="1" si="224"/>
        <v>4.6665250274341572</v>
      </c>
      <c r="AP220" s="127">
        <f t="shared" ca="1" si="252"/>
        <v>106.3276141698947</v>
      </c>
      <c r="AR220" s="121">
        <f t="shared" si="225"/>
        <v>45108</v>
      </c>
      <c r="AS220" s="73">
        <f t="shared" ca="1" si="257"/>
        <v>131.05151867310096</v>
      </c>
      <c r="AT220" s="15">
        <f t="shared" ca="1" si="226"/>
        <v>4.8755905182036114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136.51653450970113</v>
      </c>
      <c r="AY220" s="127">
        <f t="shared" ca="1" si="230"/>
        <v>4.6555681183623649</v>
      </c>
      <c r="AZ220" s="127">
        <f t="shared" ca="1" si="253"/>
        <v>105.16895144249325</v>
      </c>
      <c r="BB220" s="121">
        <f t="shared" si="231"/>
        <v>45108</v>
      </c>
      <c r="BC220" s="73">
        <f t="shared" ca="1" si="258"/>
        <v>131.05151867310096</v>
      </c>
      <c r="BD220" s="15">
        <f t="shared" ca="1" si="232"/>
        <v>4.8755905182036114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136.51653450970113</v>
      </c>
      <c r="BI220" s="127">
        <f t="shared" ca="1" si="236"/>
        <v>4.6659309937597877</v>
      </c>
      <c r="BJ220" s="127">
        <f t="shared" ca="1" si="254"/>
        <v>106.26447074308015</v>
      </c>
      <c r="BL220" s="121">
        <f t="shared" si="237"/>
        <v>45108</v>
      </c>
      <c r="BM220" s="73">
        <f t="shared" ca="1" si="259"/>
        <v>131.05151867310096</v>
      </c>
      <c r="BN220" s="15">
        <f t="shared" ca="1" si="238"/>
        <v>4.8755905182036114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136.51653450970113</v>
      </c>
      <c r="BS220" s="127">
        <f t="shared" ca="1" si="242"/>
        <v>4.5685631380159188</v>
      </c>
      <c r="BT220" s="127">
        <f t="shared" ca="1" si="255"/>
        <v>96.405488825159466</v>
      </c>
      <c r="BZ220" s="583">
        <f t="shared" si="243"/>
        <v>1</v>
      </c>
      <c r="CA220" s="121">
        <f t="shared" si="244"/>
        <v>45108</v>
      </c>
      <c r="CB220" s="127">
        <f t="shared" ca="1" si="245"/>
        <v>131.05151867310096</v>
      </c>
      <c r="CC220" s="15">
        <f t="shared" ca="1" si="246"/>
        <v>4.8755905182036114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136.51653450970113</v>
      </c>
      <c r="CH220" s="127">
        <f t="shared" ca="1" si="250"/>
        <v>4.6607667515917512</v>
      </c>
      <c r="CI220" s="127">
        <f t="shared" ca="1" si="256"/>
        <v>105.7171098508865</v>
      </c>
    </row>
    <row r="221" spans="24:87" x14ac:dyDescent="0.2">
      <c r="X221" s="121">
        <f t="shared" si="211"/>
        <v>45139</v>
      </c>
      <c r="Y221" s="73">
        <f t="shared" ca="1" si="212"/>
        <v>133.99423057285816</v>
      </c>
      <c r="Z221" s="15">
        <f t="shared" ca="1" si="213"/>
        <v>4.897796743597568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142.03610556432946</v>
      </c>
      <c r="AE221" s="127">
        <f t="shared" ca="1" si="217"/>
        <v>4.6624908750402403</v>
      </c>
      <c r="AF221" s="127">
        <f t="shared" ca="1" si="251"/>
        <v>105.89953641665663</v>
      </c>
      <c r="AH221" s="121">
        <f t="shared" si="218"/>
        <v>45139</v>
      </c>
      <c r="AI221" s="73">
        <f t="shared" ca="1" si="219"/>
        <v>134.25441945718367</v>
      </c>
      <c r="AJ221" s="15">
        <f t="shared" ca="1" si="220"/>
        <v>4.8997366524537176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142.09236292115781</v>
      </c>
      <c r="AO221" s="127">
        <f t="shared" ca="1" si="224"/>
        <v>4.6665250274341572</v>
      </c>
      <c r="AP221" s="127">
        <f t="shared" ca="1" si="252"/>
        <v>106.3276141698947</v>
      </c>
      <c r="AR221" s="121">
        <f t="shared" si="225"/>
        <v>45139</v>
      </c>
      <c r="AS221" s="73">
        <f t="shared" ca="1" si="257"/>
        <v>134.25441945718367</v>
      </c>
      <c r="AT221" s="15">
        <f t="shared" ca="1" si="226"/>
        <v>4.8997366524537176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142.09236292115781</v>
      </c>
      <c r="AY221" s="127">
        <f t="shared" ca="1" si="230"/>
        <v>4.6555681183623649</v>
      </c>
      <c r="AZ221" s="127">
        <f t="shared" ca="1" si="253"/>
        <v>105.16895144249325</v>
      </c>
      <c r="BB221" s="121">
        <f t="shared" si="231"/>
        <v>45139</v>
      </c>
      <c r="BC221" s="73">
        <f t="shared" ca="1" si="258"/>
        <v>134.25441945718367</v>
      </c>
      <c r="BD221" s="15">
        <f t="shared" ca="1" si="232"/>
        <v>4.8997366524537176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142.09236292115781</v>
      </c>
      <c r="BI221" s="127">
        <f t="shared" ca="1" si="236"/>
        <v>4.6659309937597877</v>
      </c>
      <c r="BJ221" s="127">
        <f t="shared" ca="1" si="254"/>
        <v>106.26447074308015</v>
      </c>
      <c r="BL221" s="121">
        <f t="shared" si="237"/>
        <v>45139</v>
      </c>
      <c r="BM221" s="73">
        <f t="shared" ca="1" si="259"/>
        <v>134.25441945718367</v>
      </c>
      <c r="BN221" s="15">
        <f t="shared" ca="1" si="238"/>
        <v>4.8997366524537176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142.09236292115781</v>
      </c>
      <c r="BS221" s="127">
        <f t="shared" ca="1" si="242"/>
        <v>4.5685631380159188</v>
      </c>
      <c r="BT221" s="127">
        <f t="shared" ca="1" si="255"/>
        <v>96.405488825159466</v>
      </c>
      <c r="BZ221" s="583">
        <f t="shared" si="243"/>
        <v>1</v>
      </c>
      <c r="CA221" s="121">
        <f t="shared" si="244"/>
        <v>45139</v>
      </c>
      <c r="CB221" s="127">
        <f t="shared" ca="1" si="245"/>
        <v>134.25441945718367</v>
      </c>
      <c r="CC221" s="15">
        <f t="shared" ca="1" si="246"/>
        <v>4.8997366524537176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142.09236292115781</v>
      </c>
      <c r="CH221" s="127">
        <f t="shared" ca="1" si="250"/>
        <v>4.6607667515917512</v>
      </c>
      <c r="CI221" s="127">
        <f t="shared" ca="1" si="256"/>
        <v>105.7171098508865</v>
      </c>
    </row>
    <row r="222" spans="24:87" x14ac:dyDescent="0.2">
      <c r="X222" s="121">
        <f t="shared" si="211"/>
        <v>45170</v>
      </c>
      <c r="Y222" s="73">
        <f t="shared" ca="1" si="212"/>
        <v>129.29934720211332</v>
      </c>
      <c r="Z222" s="15">
        <f t="shared" ca="1" si="213"/>
        <v>4.8621302370575137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145.86390711172541</v>
      </c>
      <c r="AE222" s="127">
        <f t="shared" ca="1" si="217"/>
        <v>4.6624908750402403</v>
      </c>
      <c r="AF222" s="127">
        <f t="shared" ca="1" si="251"/>
        <v>105.89953641665663</v>
      </c>
      <c r="AH222" s="121">
        <f t="shared" si="218"/>
        <v>45170</v>
      </c>
      <c r="AI222" s="73">
        <f t="shared" ca="1" si="219"/>
        <v>135.2651104859097</v>
      </c>
      <c r="AJ222" s="15">
        <f t="shared" ca="1" si="220"/>
        <v>4.9072366341175773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147.21709902352731</v>
      </c>
      <c r="AO222" s="127">
        <f t="shared" ca="1" si="224"/>
        <v>4.6665250274341572</v>
      </c>
      <c r="AP222" s="127">
        <f t="shared" ca="1" si="252"/>
        <v>106.3276141698947</v>
      </c>
      <c r="AR222" s="121">
        <f t="shared" si="225"/>
        <v>45170</v>
      </c>
      <c r="AS222" s="73">
        <f t="shared" ca="1" si="257"/>
        <v>135.2651104859097</v>
      </c>
      <c r="AT222" s="15">
        <f t="shared" ca="1" si="226"/>
        <v>4.9072366341175773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147.21709902352731</v>
      </c>
      <c r="AY222" s="127">
        <f t="shared" ca="1" si="230"/>
        <v>4.6555681183623649</v>
      </c>
      <c r="AZ222" s="127">
        <f t="shared" ca="1" si="253"/>
        <v>105.16895144249325</v>
      </c>
      <c r="BB222" s="121">
        <f t="shared" si="231"/>
        <v>45170</v>
      </c>
      <c r="BC222" s="73">
        <f t="shared" ca="1" si="258"/>
        <v>135.2651104859097</v>
      </c>
      <c r="BD222" s="15">
        <f t="shared" ca="1" si="232"/>
        <v>4.9072366341175773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147.21709902352731</v>
      </c>
      <c r="BI222" s="127">
        <f t="shared" ca="1" si="236"/>
        <v>4.6659309937597877</v>
      </c>
      <c r="BJ222" s="127">
        <f t="shared" ca="1" si="254"/>
        <v>106.26447074308015</v>
      </c>
      <c r="BL222" s="121">
        <f t="shared" si="237"/>
        <v>45170</v>
      </c>
      <c r="BM222" s="73">
        <f t="shared" ca="1" si="259"/>
        <v>135.2651104859097</v>
      </c>
      <c r="BN222" s="15">
        <f t="shared" ca="1" si="238"/>
        <v>4.9072366341175773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147.21709902352731</v>
      </c>
      <c r="BS222" s="127">
        <f t="shared" ca="1" si="242"/>
        <v>4.5685631380159188</v>
      </c>
      <c r="BT222" s="127">
        <f t="shared" ca="1" si="255"/>
        <v>96.405488825159466</v>
      </c>
      <c r="BZ222" s="583">
        <f t="shared" si="243"/>
        <v>1</v>
      </c>
      <c r="CA222" s="121">
        <f t="shared" si="244"/>
        <v>45170</v>
      </c>
      <c r="CB222" s="127">
        <f t="shared" ca="1" si="245"/>
        <v>135.2651104859097</v>
      </c>
      <c r="CC222" s="15">
        <f t="shared" ca="1" si="246"/>
        <v>4.9072366341175773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147.21709902352731</v>
      </c>
      <c r="CH222" s="127">
        <f t="shared" ca="1" si="250"/>
        <v>4.6607667515917512</v>
      </c>
      <c r="CI222" s="127">
        <f t="shared" ca="1" si="256"/>
        <v>105.7171098508865</v>
      </c>
    </row>
    <row r="223" spans="24:87" x14ac:dyDescent="0.2">
      <c r="X223" s="121">
        <f t="shared" si="211"/>
        <v>45200</v>
      </c>
      <c r="Y223" s="73">
        <f t="shared" ca="1" si="212"/>
        <v>149.11806151825849</v>
      </c>
      <c r="Z223" s="15">
        <f t="shared" ca="1" si="213"/>
        <v>5.0047383513775889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155.14688889270525</v>
      </c>
      <c r="AE223" s="127">
        <f t="shared" ca="1" si="217"/>
        <v>4.6624908750402403</v>
      </c>
      <c r="AF223" s="127">
        <f t="shared" ca="1" si="251"/>
        <v>105.89953641665663</v>
      </c>
      <c r="AH223" s="121">
        <f t="shared" si="218"/>
        <v>45200</v>
      </c>
      <c r="AI223" s="73">
        <f t="shared" ca="1" si="219"/>
        <v>135.92826484381277</v>
      </c>
      <c r="AJ223" s="15">
        <f t="shared" ca="1" si="220"/>
        <v>4.9121272821940485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152.27594574801552</v>
      </c>
      <c r="AO223" s="127">
        <f t="shared" ca="1" si="224"/>
        <v>4.6665250274341572</v>
      </c>
      <c r="AP223" s="127">
        <f t="shared" ca="1" si="252"/>
        <v>106.3276141698947</v>
      </c>
      <c r="AR223" s="121">
        <f t="shared" si="225"/>
        <v>45200</v>
      </c>
      <c r="AS223" s="73">
        <f t="shared" ca="1" si="257"/>
        <v>135.92826484381277</v>
      </c>
      <c r="AT223" s="15">
        <f t="shared" ca="1" si="226"/>
        <v>4.9121272821940485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152.27594574801552</v>
      </c>
      <c r="AY223" s="127">
        <f t="shared" ca="1" si="230"/>
        <v>4.6555681183623649</v>
      </c>
      <c r="AZ223" s="127">
        <f t="shared" ca="1" si="253"/>
        <v>105.16895144249325</v>
      </c>
      <c r="BB223" s="121">
        <f t="shared" si="231"/>
        <v>45200</v>
      </c>
      <c r="BC223" s="73">
        <f t="shared" ca="1" si="258"/>
        <v>135.92826484381277</v>
      </c>
      <c r="BD223" s="15">
        <f t="shared" ca="1" si="232"/>
        <v>4.9121272821940485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152.27594574801552</v>
      </c>
      <c r="BI223" s="127">
        <f t="shared" ca="1" si="236"/>
        <v>4.6659309937597877</v>
      </c>
      <c r="BJ223" s="127">
        <f t="shared" ca="1" si="254"/>
        <v>106.26447074308015</v>
      </c>
      <c r="BL223" s="121">
        <f t="shared" si="237"/>
        <v>45200</v>
      </c>
      <c r="BM223" s="73">
        <f t="shared" ca="1" si="259"/>
        <v>135.92826484381277</v>
      </c>
      <c r="BN223" s="15">
        <f t="shared" ca="1" si="238"/>
        <v>4.9121272821940485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152.27594574801552</v>
      </c>
      <c r="BS223" s="127">
        <f t="shared" ca="1" si="242"/>
        <v>4.5685631380159188</v>
      </c>
      <c r="BT223" s="127">
        <f t="shared" ca="1" si="255"/>
        <v>96.405488825159466</v>
      </c>
      <c r="BZ223" s="583">
        <f t="shared" si="243"/>
        <v>1</v>
      </c>
      <c r="CA223" s="121">
        <f t="shared" si="244"/>
        <v>45200</v>
      </c>
      <c r="CB223" s="127">
        <f t="shared" ca="1" si="245"/>
        <v>135.92826484381277</v>
      </c>
      <c r="CC223" s="15">
        <f t="shared" ca="1" si="246"/>
        <v>4.9121272821940485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152.27594574801552</v>
      </c>
      <c r="CH223" s="127">
        <f t="shared" ca="1" si="250"/>
        <v>4.6607667515917512</v>
      </c>
      <c r="CI223" s="127">
        <f t="shared" ca="1" si="256"/>
        <v>105.7171098508865</v>
      </c>
    </row>
    <row r="224" spans="24:87" x14ac:dyDescent="0.2">
      <c r="X224" s="121">
        <f t="shared" si="211"/>
        <v>45231</v>
      </c>
      <c r="Y224" s="73">
        <f t="shared" ca="1" si="212"/>
        <v>143.55464408573698</v>
      </c>
      <c r="Z224" s="15">
        <f t="shared" ca="1" si="213"/>
        <v>4.9667157577382088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158.93490424762268</v>
      </c>
      <c r="AE224" s="127">
        <f t="shared" ca="1" si="217"/>
        <v>4.6624908750402403</v>
      </c>
      <c r="AF224" s="127">
        <f t="shared" ca="1" si="251"/>
        <v>105.89953641665663</v>
      </c>
      <c r="AH224" s="121">
        <f t="shared" si="218"/>
        <v>45231</v>
      </c>
      <c r="AI224" s="73">
        <f t="shared" ca="1" si="219"/>
        <v>133.55976352215552</v>
      </c>
      <c r="AJ224" s="15">
        <f t="shared" ca="1" si="220"/>
        <v>4.8945490445000281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156.6255694240009</v>
      </c>
      <c r="AO224" s="127">
        <f t="shared" ca="1" si="224"/>
        <v>4.6665250274341572</v>
      </c>
      <c r="AP224" s="127">
        <f t="shared" ca="1" si="252"/>
        <v>106.3276141698947</v>
      </c>
      <c r="AR224" s="121">
        <f t="shared" si="225"/>
        <v>45231</v>
      </c>
      <c r="AS224" s="73">
        <f t="shared" ca="1" si="257"/>
        <v>133.55976352215552</v>
      </c>
      <c r="AT224" s="15">
        <f t="shared" ca="1" si="226"/>
        <v>4.8945490445000281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156.6255694240009</v>
      </c>
      <c r="AY224" s="127">
        <f t="shared" ca="1" si="230"/>
        <v>4.6555681183623649</v>
      </c>
      <c r="AZ224" s="127">
        <f t="shared" ca="1" si="253"/>
        <v>105.16895144249325</v>
      </c>
      <c r="BB224" s="121">
        <f t="shared" si="231"/>
        <v>45231</v>
      </c>
      <c r="BC224" s="73">
        <f t="shared" ca="1" si="258"/>
        <v>133.55976352215552</v>
      </c>
      <c r="BD224" s="15">
        <f t="shared" ca="1" si="232"/>
        <v>4.8945490445000281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156.6255694240009</v>
      </c>
      <c r="BI224" s="127">
        <f t="shared" ca="1" si="236"/>
        <v>4.6659309937597877</v>
      </c>
      <c r="BJ224" s="127">
        <f t="shared" ca="1" si="254"/>
        <v>106.26447074308015</v>
      </c>
      <c r="BL224" s="121">
        <f t="shared" si="237"/>
        <v>45231</v>
      </c>
      <c r="BM224" s="73">
        <f t="shared" ca="1" si="259"/>
        <v>133.55976352215552</v>
      </c>
      <c r="BN224" s="15">
        <f t="shared" ca="1" si="238"/>
        <v>4.8945490445000281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156.6255694240009</v>
      </c>
      <c r="BS224" s="127">
        <f t="shared" ca="1" si="242"/>
        <v>4.5685631380159188</v>
      </c>
      <c r="BT224" s="127">
        <f t="shared" ca="1" si="255"/>
        <v>96.405488825159466</v>
      </c>
      <c r="BZ224" s="583">
        <f t="shared" si="243"/>
        <v>0</v>
      </c>
      <c r="CA224" s="121">
        <f t="shared" si="244"/>
        <v>45231</v>
      </c>
      <c r="CB224" s="127">
        <f t="shared" ca="1" si="245"/>
        <v>0</v>
      </c>
      <c r="CC224" s="15">
        <f t="shared" ca="1" si="246"/>
        <v>0</v>
      </c>
      <c r="CD224" s="98">
        <f t="shared" ca="1" si="247"/>
        <v>0</v>
      </c>
      <c r="CE224" s="128">
        <f ca="1">IF(CD224&gt;0,32,0)</f>
        <v>0</v>
      </c>
      <c r="CF224" s="128">
        <f t="shared" ca="1" si="248"/>
        <v>0</v>
      </c>
      <c r="CG224" s="15">
        <f t="shared" ca="1" si="249"/>
        <v>0</v>
      </c>
      <c r="CH224" s="127">
        <f t="shared" ca="1" si="250"/>
        <v>4.6607667515917512</v>
      </c>
      <c r="CI224" s="127">
        <f t="shared" ca="1" si="256"/>
        <v>105.7171098508865</v>
      </c>
    </row>
    <row r="225" spans="24:87" x14ac:dyDescent="0.2">
      <c r="X225" s="121">
        <f t="shared" si="211"/>
        <v>45261</v>
      </c>
      <c r="Y225" s="73">
        <f t="shared" ca="1" si="212"/>
        <v>132.5937408676709</v>
      </c>
      <c r="Z225" s="15">
        <f t="shared" ca="1" si="213"/>
        <v>4.8872898735280899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161.28056582642697</v>
      </c>
      <c r="AE225" s="127">
        <f t="shared" ca="1" si="217"/>
        <v>4.6624908750402403</v>
      </c>
      <c r="AF225" s="127">
        <f t="shared" ca="1" si="251"/>
        <v>105.89953641665663</v>
      </c>
      <c r="AH225" s="121">
        <f t="shared" si="218"/>
        <v>45261</v>
      </c>
      <c r="AI225" s="73">
        <f t="shared" ca="1" si="219"/>
        <v>135.30653888416967</v>
      </c>
      <c r="AJ225" s="15">
        <f t="shared" ca="1" si="220"/>
        <v>4.9075428627906863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161.94891447209264</v>
      </c>
      <c r="AO225" s="127">
        <f t="shared" ca="1" si="224"/>
        <v>4.6665250274341572</v>
      </c>
      <c r="AP225" s="127">
        <f t="shared" ca="1" si="252"/>
        <v>106.3276141698947</v>
      </c>
      <c r="AR225" s="121">
        <f t="shared" si="225"/>
        <v>45261</v>
      </c>
      <c r="AS225" s="73">
        <f t="shared" ca="1" si="257"/>
        <v>135.30653888416967</v>
      </c>
      <c r="AT225" s="15">
        <f t="shared" ca="1" si="226"/>
        <v>4.9075428627906863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161.94891447209264</v>
      </c>
      <c r="AY225" s="127">
        <f t="shared" ca="1" si="230"/>
        <v>4.6555681183623649</v>
      </c>
      <c r="AZ225" s="127">
        <f t="shared" ca="1" si="253"/>
        <v>105.16895144249325</v>
      </c>
      <c r="BB225" s="121">
        <f t="shared" si="231"/>
        <v>45261</v>
      </c>
      <c r="BC225" s="73">
        <f t="shared" ca="1" si="258"/>
        <v>135.30653888416967</v>
      </c>
      <c r="BD225" s="15">
        <f t="shared" ca="1" si="232"/>
        <v>4.9075428627906863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161.94891447209264</v>
      </c>
      <c r="BI225" s="127">
        <f t="shared" ca="1" si="236"/>
        <v>4.6659309937597877</v>
      </c>
      <c r="BJ225" s="127">
        <f t="shared" ca="1" si="254"/>
        <v>106.26447074308015</v>
      </c>
      <c r="BL225" s="121">
        <f t="shared" si="237"/>
        <v>45261</v>
      </c>
      <c r="BM225" s="73">
        <f t="shared" ca="1" si="259"/>
        <v>135.30653888416967</v>
      </c>
      <c r="BN225" s="15">
        <f t="shared" ca="1" si="238"/>
        <v>4.9075428627906863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161.94891447209264</v>
      </c>
      <c r="BS225" s="127">
        <f t="shared" ca="1" si="242"/>
        <v>4.5685631380159188</v>
      </c>
      <c r="BT225" s="127">
        <f t="shared" ca="1" si="255"/>
        <v>96.405488825159466</v>
      </c>
      <c r="BZ225" s="583">
        <f t="shared" si="243"/>
        <v>0</v>
      </c>
      <c r="CA225" s="121">
        <f t="shared" si="244"/>
        <v>45261</v>
      </c>
      <c r="CB225" s="127">
        <f t="shared" ca="1" si="245"/>
        <v>0</v>
      </c>
      <c r="CC225" s="15">
        <f t="shared" ca="1" si="246"/>
        <v>0</v>
      </c>
      <c r="CD225" s="98">
        <f t="shared" ca="1" si="247"/>
        <v>0</v>
      </c>
      <c r="CE225" s="128">
        <f ca="1">IF(CD225&gt;0,33,0)</f>
        <v>0</v>
      </c>
      <c r="CF225" s="128">
        <f t="shared" ca="1" si="248"/>
        <v>0</v>
      </c>
      <c r="CG225" s="15">
        <f t="shared" ca="1" si="249"/>
        <v>0</v>
      </c>
      <c r="CH225" s="127">
        <f t="shared" ca="1" si="250"/>
        <v>4.6607667515917512</v>
      </c>
      <c r="CI225" s="127">
        <f t="shared" ca="1" si="256"/>
        <v>105.7171098508865</v>
      </c>
    </row>
    <row r="226" spans="24:87" x14ac:dyDescent="0.2">
      <c r="X226" s="121">
        <f t="shared" si="211"/>
        <v>45292</v>
      </c>
      <c r="Y226" s="73">
        <f t="shared" ca="1" si="212"/>
        <v>127.00956481623867</v>
      </c>
      <c r="Z226" s="15">
        <f t="shared" ca="1" si="213"/>
        <v>4.8442623971363616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164.7049215026363</v>
      </c>
      <c r="AE226" s="127">
        <f t="shared" ca="1" si="217"/>
        <v>4.6624908750402403</v>
      </c>
      <c r="AF226" s="127">
        <f t="shared" ca="1" si="251"/>
        <v>105.89953641665663</v>
      </c>
      <c r="AH226" s="121">
        <f t="shared" si="218"/>
        <v>45292</v>
      </c>
      <c r="AI226" s="73">
        <f t="shared" ca="1" si="219"/>
        <v>132.54423435735191</v>
      </c>
      <c r="AJ226" s="15">
        <f t="shared" ca="1" si="220"/>
        <v>4.8869164339191284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166.15515875325036</v>
      </c>
      <c r="AO226" s="127">
        <f t="shared" ca="1" si="224"/>
        <v>4.6665250274341572</v>
      </c>
      <c r="AP226" s="127">
        <f t="shared" ca="1" si="252"/>
        <v>106.3276141698947</v>
      </c>
      <c r="AR226" s="121">
        <f t="shared" si="225"/>
        <v>45292</v>
      </c>
      <c r="AS226" s="73">
        <f t="shared" ca="1" si="257"/>
        <v>132.54423435735191</v>
      </c>
      <c r="AT226" s="15">
        <f t="shared" ca="1" si="226"/>
        <v>4.8869164339191284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166.15515875325036</v>
      </c>
      <c r="AY226" s="127">
        <f t="shared" ca="1" si="230"/>
        <v>4.6555681183623649</v>
      </c>
      <c r="AZ226" s="127">
        <f t="shared" ca="1" si="253"/>
        <v>105.16895144249325</v>
      </c>
      <c r="BB226" s="121">
        <f t="shared" si="231"/>
        <v>45292</v>
      </c>
      <c r="BC226" s="73">
        <f t="shared" ca="1" si="258"/>
        <v>132.54423435735191</v>
      </c>
      <c r="BD226" s="15">
        <f t="shared" ca="1" si="232"/>
        <v>4.8869164339191284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166.15515875325036</v>
      </c>
      <c r="BI226" s="127">
        <f t="shared" ca="1" si="236"/>
        <v>4.6659309937597877</v>
      </c>
      <c r="BJ226" s="127">
        <f t="shared" ca="1" si="254"/>
        <v>106.26447074308015</v>
      </c>
      <c r="BL226" s="121">
        <f t="shared" si="237"/>
        <v>45292</v>
      </c>
      <c r="BM226" s="73">
        <f t="shared" ca="1" si="259"/>
        <v>132.54423435735191</v>
      </c>
      <c r="BN226" s="15">
        <f t="shared" ca="1" si="238"/>
        <v>4.8869164339191284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166.15515875325036</v>
      </c>
      <c r="BS226" s="127">
        <f t="shared" ca="1" si="242"/>
        <v>4.5685631380159188</v>
      </c>
      <c r="BT226" s="127">
        <f t="shared" ca="1" si="255"/>
        <v>96.405488825159466</v>
      </c>
      <c r="BZ226" s="583">
        <f t="shared" si="243"/>
        <v>0</v>
      </c>
      <c r="CA226" s="121">
        <f t="shared" si="244"/>
        <v>45292</v>
      </c>
      <c r="CB226" s="127">
        <f t="shared" ca="1" si="245"/>
        <v>0</v>
      </c>
      <c r="CC226" s="15">
        <f t="shared" ca="1" si="246"/>
        <v>0</v>
      </c>
      <c r="CD226" s="98">
        <f t="shared" ca="1" si="247"/>
        <v>0</v>
      </c>
      <c r="CE226" s="128">
        <f ca="1">IF(CD226&gt;0,34,0)</f>
        <v>0</v>
      </c>
      <c r="CF226" s="128">
        <f t="shared" ca="1" si="248"/>
        <v>0</v>
      </c>
      <c r="CG226" s="15">
        <f t="shared" ca="1" si="249"/>
        <v>0</v>
      </c>
      <c r="CH226" s="127">
        <f t="shared" ca="1" si="250"/>
        <v>4.6607667515917512</v>
      </c>
      <c r="CI226" s="127">
        <f t="shared" ca="1" si="256"/>
        <v>105.7171098508865</v>
      </c>
    </row>
    <row r="227" spans="24:87" x14ac:dyDescent="0.2">
      <c r="X227" s="121">
        <f t="shared" si="211"/>
        <v>45323</v>
      </c>
      <c r="Y227" s="73">
        <f t="shared" ca="1" si="212"/>
        <v>119.78322264291478</v>
      </c>
      <c r="Z227" s="15">
        <f t="shared" ca="1" si="213"/>
        <v>4.7856836311572666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167.49892709050434</v>
      </c>
      <c r="AE227" s="127">
        <f t="shared" ca="1" si="217"/>
        <v>4.6624908750402403</v>
      </c>
      <c r="AF227" s="127">
        <f t="shared" ca="1" si="251"/>
        <v>105.89953641665663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4.6665250274341572</v>
      </c>
      <c r="AP227" s="127">
        <f t="shared" ca="1" si="252"/>
        <v>106.3276141698947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4.6555681183623649</v>
      </c>
      <c r="AZ227" s="127">
        <f t="shared" ca="1" si="253"/>
        <v>105.16895144249325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4.6659309937597877</v>
      </c>
      <c r="BJ227" s="127">
        <f t="shared" ca="1" si="254"/>
        <v>106.26447074308015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4.5685631380159188</v>
      </c>
      <c r="BT227" s="127">
        <f t="shared" ca="1" si="255"/>
        <v>96.405488825159466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4.6607667515917512</v>
      </c>
      <c r="CI227" s="127">
        <f t="shared" ca="1" si="256"/>
        <v>105.7171098508865</v>
      </c>
    </row>
    <row r="228" spans="24:87" x14ac:dyDescent="0.2">
      <c r="X228" s="121">
        <f t="shared" si="211"/>
        <v>45352</v>
      </c>
      <c r="Y228" s="73">
        <f t="shared" ca="1" si="212"/>
        <v>139.77999937419818</v>
      </c>
      <c r="Z228" s="15">
        <f t="shared" ca="1" si="213"/>
        <v>4.9400697535719349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177.84251112858965</v>
      </c>
      <c r="AE228" s="127">
        <f t="shared" ca="1" si="217"/>
        <v>4.6624908750402403</v>
      </c>
      <c r="AF228" s="127">
        <f t="shared" ca="1" si="251"/>
        <v>105.89953641665663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4.6665250274341572</v>
      </c>
      <c r="AP228" s="127">
        <f t="shared" ca="1" si="252"/>
        <v>106.3276141698947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4.6555681183623649</v>
      </c>
      <c r="AZ228" s="127">
        <f t="shared" ca="1" si="253"/>
        <v>105.16895144249325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4.6659309937597877</v>
      </c>
      <c r="BJ228" s="127">
        <f t="shared" ca="1" si="254"/>
        <v>106.26447074308015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4.5685631380159188</v>
      </c>
      <c r="BT228" s="127">
        <f t="shared" ca="1" si="255"/>
        <v>96.405488825159466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4.6607667515917512</v>
      </c>
      <c r="CI228" s="127">
        <f t="shared" ca="1" si="256"/>
        <v>105.7171098508865</v>
      </c>
    </row>
    <row r="229" spans="24:87" x14ac:dyDescent="0.2">
      <c r="X229" s="121" t="s">
        <v>86</v>
      </c>
      <c r="Y229" s="73">
        <f t="shared" ref="Y229:AD229" ca="1" si="260">SUM(Y193:Y228)</f>
        <v>4350.1437360993914</v>
      </c>
      <c r="Z229" s="15">
        <f t="shared" ca="1" si="260"/>
        <v>172.44827184554399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3217.1181978164532</v>
      </c>
      <c r="AE229" s="66"/>
      <c r="AF229" s="120"/>
      <c r="AH229" s="121" t="s">
        <v>86</v>
      </c>
      <c r="AI229" s="73">
        <f t="shared" ref="AI229:AN229" ca="1" si="261">SUM(AI193:AI228)</f>
        <v>3786.7969043762964</v>
      </c>
      <c r="AJ229" s="15">
        <f t="shared" ca="1" si="261"/>
        <v>148.90427805531894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2845.4592979085178</v>
      </c>
      <c r="AO229" s="66"/>
      <c r="AP229" s="120"/>
      <c r="AR229" s="121" t="s">
        <v>86</v>
      </c>
      <c r="AS229" s="73">
        <f t="shared" ref="AS229:AX229" ca="1" si="262">SUM(AS193:AS228)</f>
        <v>2992.5276006178146</v>
      </c>
      <c r="AT229" s="15">
        <f t="shared" ca="1" si="262"/>
        <v>115.78402942590864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2613.6143194855117</v>
      </c>
      <c r="AY229" s="66"/>
      <c r="AZ229" s="120"/>
      <c r="BB229" s="121" t="s">
        <v>86</v>
      </c>
      <c r="BC229" s="73">
        <f t="shared" ref="BC229:BH229" ca="1" si="263">SUM(BC193:BC228)</f>
        <v>2290.7005761658547</v>
      </c>
      <c r="BD229" s="15">
        <f t="shared" ca="1" si="263"/>
        <v>87.214873230807399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2227.6466196608212</v>
      </c>
      <c r="BI229" s="66"/>
      <c r="BJ229" s="120"/>
      <c r="BL229" s="121" t="s">
        <v>86</v>
      </c>
      <c r="BM229" s="73">
        <f t="shared" ref="BM229:BR229" ca="1" si="264">SUM(BM193:BM228)</f>
        <v>1558.876763815279</v>
      </c>
      <c r="BN229" s="15">
        <f t="shared" ca="1" si="264"/>
        <v>58.392317214830776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1665.6482932776005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2478.4537581221593</v>
      </c>
      <c r="CC229" s="15">
        <f t="shared" ca="1" si="265"/>
        <v>96.370617309110102</v>
      </c>
      <c r="CD229" s="98">
        <f t="shared" ca="1" si="265"/>
        <v>20</v>
      </c>
      <c r="CE229" s="128">
        <f t="shared" ca="1" si="265"/>
        <v>430</v>
      </c>
      <c r="CF229" s="7">
        <f t="shared" ca="1" si="265"/>
        <v>9910</v>
      </c>
      <c r="CG229" s="15">
        <f t="shared" ca="1" si="265"/>
        <v>2076.9162353046918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4.7902297734873329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89.364394383790369</v>
      </c>
      <c r="AH230" s="7" t="s">
        <v>176</v>
      </c>
      <c r="AI230" s="7"/>
      <c r="AJ230" s="15">
        <f ca="1">+AJ229/AK229</f>
        <v>4.803363808236095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91.789009609952188</v>
      </c>
      <c r="AR230" s="7" t="s">
        <v>176</v>
      </c>
      <c r="AS230" s="7"/>
      <c r="AT230" s="15">
        <f ca="1">+AT229/AU229</f>
        <v>4.8243345594128604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108.90059664522965</v>
      </c>
      <c r="BB230" s="7" t="s">
        <v>176</v>
      </c>
      <c r="BC230" s="7"/>
      <c r="BD230" s="15">
        <f ca="1">+BD229/BE229</f>
        <v>4.8452707350448554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123.75814553671229</v>
      </c>
      <c r="BL230" s="7" t="s">
        <v>176</v>
      </c>
      <c r="BM230" s="7"/>
      <c r="BN230" s="15">
        <f ca="1">+BN229/BO229</f>
        <v>4.866026434569231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138.80402443980003</v>
      </c>
      <c r="BZ230" s="583"/>
      <c r="CA230" s="7" t="s">
        <v>176</v>
      </c>
      <c r="CB230" s="7"/>
      <c r="CC230" s="15">
        <f ca="1">+CC229/CD229</f>
        <v>4.8185308654555055</v>
      </c>
      <c r="CD230" s="7"/>
      <c r="CE230" s="7">
        <f ca="1">+CE229/CD229</f>
        <v>21.5</v>
      </c>
      <c r="CF230" s="7">
        <f ca="1">+CF229/CD229</f>
        <v>495.5</v>
      </c>
      <c r="CG230" s="15">
        <f ca="1">+CG229/CD229</f>
        <v>103.84581176523459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20</v>
      </c>
    </row>
    <row r="233" spans="24:87" x14ac:dyDescent="0.2">
      <c r="X233" t="s">
        <v>254</v>
      </c>
      <c r="Y233" s="66">
        <f ca="1">Z229</f>
        <v>172.44827184554399</v>
      </c>
      <c r="AH233" t="s">
        <v>254</v>
      </c>
      <c r="AI233" s="66">
        <f ca="1">AJ229</f>
        <v>148.90427805531894</v>
      </c>
      <c r="AR233" t="s">
        <v>254</v>
      </c>
      <c r="AS233" s="66">
        <f ca="1">AT229</f>
        <v>115.78402942590864</v>
      </c>
      <c r="BB233" t="s">
        <v>254</v>
      </c>
      <c r="BC233" s="66">
        <f ca="1">BD229</f>
        <v>87.214873230807399</v>
      </c>
      <c r="BL233" t="s">
        <v>254</v>
      </c>
      <c r="BM233" s="66">
        <f ca="1">BN229</f>
        <v>58.392317214830776</v>
      </c>
      <c r="CA233" t="s">
        <v>254</v>
      </c>
      <c r="CB233" s="66">
        <f ca="1">CC229</f>
        <v>96.370617309110102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89.364394383790369</v>
      </c>
      <c r="AA235" t="s">
        <v>244</v>
      </c>
      <c r="AH235" s="1" t="s">
        <v>255</v>
      </c>
      <c r="AI235" s="59">
        <f ca="1">+AN230</f>
        <v>91.789009609952188</v>
      </c>
      <c r="AK235" t="s">
        <v>244</v>
      </c>
      <c r="AR235" s="1" t="s">
        <v>255</v>
      </c>
      <c r="AS235" s="59">
        <f ca="1">+AX230</f>
        <v>108.90059664522965</v>
      </c>
      <c r="AU235" t="s">
        <v>244</v>
      </c>
      <c r="BB235" s="1" t="s">
        <v>255</v>
      </c>
      <c r="BC235" s="59">
        <f ca="1">+BH230</f>
        <v>123.75814553671229</v>
      </c>
      <c r="BE235" t="s">
        <v>244</v>
      </c>
      <c r="BL235" s="1" t="s">
        <v>255</v>
      </c>
      <c r="BM235" s="59">
        <f ca="1">+BR230</f>
        <v>138.80402443980003</v>
      </c>
      <c r="BO235" t="s">
        <v>244</v>
      </c>
      <c r="CA235" s="1" t="s">
        <v>255</v>
      </c>
      <c r="CB235" s="59">
        <f ca="1">+CG230</f>
        <v>103.84581176523459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21.5</v>
      </c>
    </row>
    <row r="237" spans="24:87" x14ac:dyDescent="0.2">
      <c r="X237" s="1" t="s">
        <v>256</v>
      </c>
      <c r="Y237" s="59">
        <f ca="1">Y233/Y232</f>
        <v>4.7902297734873329</v>
      </c>
      <c r="AH237" s="1" t="s">
        <v>256</v>
      </c>
      <c r="AI237" s="59">
        <f ca="1">AI233/AI232</f>
        <v>4.803363808236095</v>
      </c>
      <c r="AR237" s="1" t="s">
        <v>256</v>
      </c>
      <c r="AS237" s="59">
        <f ca="1">AS233/AS232</f>
        <v>4.8243345594128604</v>
      </c>
      <c r="BB237" s="1" t="s">
        <v>256</v>
      </c>
      <c r="BC237" s="59">
        <f ca="1">BC233/BC232</f>
        <v>4.8452707350448554</v>
      </c>
      <c r="BL237" s="1" t="s">
        <v>256</v>
      </c>
      <c r="BM237" s="59">
        <f ca="1">BM233/BM232</f>
        <v>4.866026434569231</v>
      </c>
      <c r="CA237" s="1" t="s">
        <v>256</v>
      </c>
      <c r="CB237" s="59">
        <f ca="1">CB233/CB232</f>
        <v>4.8185308654555055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495.5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462.25</v>
      </c>
    </row>
    <row r="240" spans="24:87" x14ac:dyDescent="0.2">
      <c r="X240" s="28" t="s">
        <v>247</v>
      </c>
      <c r="Y240" s="66">
        <f ca="1">(Y235-Y237*Y236)/(Y238-Y239)</f>
        <v>6.9048053214644609E-3</v>
      </c>
      <c r="AH240" s="28" t="s">
        <v>247</v>
      </c>
      <c r="AI240" s="66">
        <f ca="1">(AI235-AI237*AI236)/(AI238-AI239)</f>
        <v>6.5637156683298059E-3</v>
      </c>
      <c r="AR240" s="28" t="s">
        <v>247</v>
      </c>
      <c r="AS240" s="66">
        <f ca="1">(AS235-AS237*AS236)/(AS238-AS239)</f>
        <v>7.3683977413627373E-3</v>
      </c>
      <c r="BB240" s="28" t="s">
        <v>247</v>
      </c>
      <c r="BC240" s="66">
        <f ca="1">(BC235-BC237*BC236)/(BC238-BC239)</f>
        <v>7.5693545412436249E-3</v>
      </c>
      <c r="BL240" s="28" t="s">
        <v>247</v>
      </c>
      <c r="BM240" s="66">
        <f ca="1">(BM235-BM237*BM236)/(BM238-BM239)</f>
        <v>1.0260508076386744E-2</v>
      </c>
      <c r="CA240" s="28" t="s">
        <v>247</v>
      </c>
      <c r="CB240" s="66">
        <f ca="1">(CB235-CB237*CB236)/(CB238-CB239)</f>
        <v>7.4405461034953279E-3</v>
      </c>
    </row>
    <row r="241" spans="24:80" x14ac:dyDescent="0.2">
      <c r="X241" s="28" t="s">
        <v>248</v>
      </c>
      <c r="Y241" s="66">
        <f ca="1">Y237-Y240*Y236</f>
        <v>4.6624908750402403</v>
      </c>
      <c r="AH241" s="28" t="s">
        <v>248</v>
      </c>
      <c r="AI241" s="66">
        <f ca="1">AI237-AI240*AI236</f>
        <v>4.6786532105378287</v>
      </c>
      <c r="AR241" s="28" t="s">
        <v>248</v>
      </c>
      <c r="AS241" s="66">
        <f ca="1">AS237-AS240*AS236</f>
        <v>4.6585456102321992</v>
      </c>
      <c r="BB241" s="28" t="s">
        <v>248</v>
      </c>
      <c r="BC241" s="66">
        <f ca="1">BC237-BC240*BC236</f>
        <v>4.6522521942431432</v>
      </c>
      <c r="BL241" s="28" t="s">
        <v>248</v>
      </c>
      <c r="BM241" s="66">
        <f ca="1">BM237-BM240*BM236</f>
        <v>4.5736019543922088</v>
      </c>
      <c r="CA241" s="28" t="s">
        <v>248</v>
      </c>
      <c r="CB241" s="66">
        <f ca="1">CB237-CB240*CB236</f>
        <v>4.6585591242303561</v>
      </c>
    </row>
    <row r="242" spans="24:80" x14ac:dyDescent="0.2">
      <c r="X242" t="s">
        <v>249</v>
      </c>
      <c r="Y242" s="126">
        <f ca="1">EXP(12*Y240+Y241)/EXP(Y241)-1</f>
        <v>8.6387165384540499E-2</v>
      </c>
      <c r="AH242" t="s">
        <v>249</v>
      </c>
      <c r="AI242" s="126">
        <f ca="1">EXP(12*AI240+AI241)/EXP(AI241)-1</f>
        <v>8.1949588192925527E-2</v>
      </c>
      <c r="AR242" t="s">
        <v>249</v>
      </c>
      <c r="AS242" s="126">
        <f ca="1">EXP(12*AS240+AS241)/EXP(AS241)-1</f>
        <v>9.2447697714801436E-2</v>
      </c>
      <c r="BB242" t="s">
        <v>249</v>
      </c>
      <c r="BC242" s="126">
        <f ca="1">EXP(12*BC240+BC241)/EXP(BC241)-1</f>
        <v>9.5085294214765526E-2</v>
      </c>
      <c r="BL242" t="s">
        <v>249</v>
      </c>
      <c r="BM242" s="126">
        <f ca="1">EXP(12*BM240+BM241)/EXP(BM241)-1</f>
        <v>0.1310270309772017</v>
      </c>
      <c r="CA242" t="s">
        <v>249</v>
      </c>
      <c r="CB242" s="126">
        <f ca="1">EXP(12*CB240+CB241)/EXP(CB241)-1</f>
        <v>9.3393927014328915E-2</v>
      </c>
    </row>
    <row r="243" spans="24:80" x14ac:dyDescent="0.2">
      <c r="X243" t="s">
        <v>250</v>
      </c>
      <c r="Y243" t="str">
        <f ca="1">FIXED(Y242*100,1,TRUE)</f>
        <v>8.6</v>
      </c>
      <c r="AH243" t="s">
        <v>250</v>
      </c>
      <c r="AI243" t="str">
        <f ca="1">FIXED(AI242*100,1,TRUE)</f>
        <v>8.2</v>
      </c>
      <c r="AR243" t="s">
        <v>250</v>
      </c>
      <c r="AS243" t="str">
        <f ca="1">FIXED(AS242*100,1,TRUE)</f>
        <v>9.2</v>
      </c>
      <c r="BB243" t="s">
        <v>250</v>
      </c>
      <c r="BC243" t="str">
        <f ca="1">FIXED(BC242*100,1,TRUE)</f>
        <v>9.5</v>
      </c>
      <c r="BL243" t="s">
        <v>250</v>
      </c>
      <c r="BM243" t="str">
        <f ca="1">FIXED(BM242*100,1,TRUE)</f>
        <v>13.1</v>
      </c>
      <c r="CA243" t="s">
        <v>250</v>
      </c>
      <c r="CB243" t="str">
        <f ca="1">FIXED(CB242*100,1,TRUE)</f>
        <v>9.3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Allied Pacific (APC Medicare)</v>
      </c>
      <c r="AE11" s="198" t="s">
        <v>717</v>
      </c>
      <c r="AN11" s="178"/>
    </row>
    <row r="12" spans="1:40" x14ac:dyDescent="0.2">
      <c r="A12" s="3" t="str">
        <f>Data!$C$1</f>
        <v>Allied Pacific (APC Medicare)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33510</v>
      </c>
      <c r="C20" s="41">
        <f>Data!$BO43</f>
        <v>3380977.610000005</v>
      </c>
      <c r="D20" s="41">
        <f>Data!$BM43</f>
        <v>3380977.610000005</v>
      </c>
      <c r="E20" s="41">
        <f>+C20-D20</f>
        <v>0</v>
      </c>
      <c r="F20" s="73">
        <f t="shared" ref="F20:F54" si="0">IF(B20=0,0,+C20/B20)</f>
        <v>100.89458698895866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100.89458698895866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6843134.8999999762</v>
      </c>
      <c r="AA20" s="53">
        <f ca="1">Final!C134</f>
        <v>203589.41406565858</v>
      </c>
      <c r="AB20" s="53">
        <f ca="1">Final!E134</f>
        <v>7046724.3140656352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33625</v>
      </c>
      <c r="C21" s="41">
        <f>Data!$BO42</f>
        <v>3351579.1400000011</v>
      </c>
      <c r="D21" s="41">
        <f>Data!$BM42</f>
        <v>3351579.1400000011</v>
      </c>
      <c r="E21" s="41">
        <f t="shared" ref="E21:E55" si="2">+C21-D21</f>
        <v>0</v>
      </c>
      <c r="F21" s="73">
        <f t="shared" si="0"/>
        <v>99.675216059479581</v>
      </c>
      <c r="G21" s="73">
        <f t="shared" si="1"/>
        <v>0</v>
      </c>
      <c r="H21" s="15"/>
      <c r="I21" s="15">
        <f>VLOOKUP($A21,PMPM!$A$81:$C$104,3)</f>
        <v>1</v>
      </c>
      <c r="J21" s="73">
        <f t="shared" ref="J21:J55" si="3">F21*I21</f>
        <v>99.675216059479581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102.82659411298313</v>
      </c>
      <c r="O21" s="120">
        <f>AVERAGE($J20:$J22)*M21</f>
        <v>102.82659411298313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6741423.4000000022</v>
      </c>
      <c r="AA21" s="53">
        <f ca="1">Final!C133</f>
        <v>239359.50524893729</v>
      </c>
      <c r="AB21" s="53">
        <f ca="1">Final!E133</f>
        <v>6980782.90524894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33715</v>
      </c>
      <c r="C22" s="41">
        <f>Data!$BO41</f>
        <v>3638184.9517795844</v>
      </c>
      <c r="D22" s="41">
        <f>Data!$BM41</f>
        <v>3638130.6099999989</v>
      </c>
      <c r="E22" s="41">
        <f t="shared" si="2"/>
        <v>54.341779585462064</v>
      </c>
      <c r="F22" s="73">
        <f t="shared" si="0"/>
        <v>107.90997929051117</v>
      </c>
      <c r="G22" s="73">
        <f t="shared" si="1"/>
        <v>1.6117982970624964E-3</v>
      </c>
      <c r="H22" s="15"/>
      <c r="I22" s="15">
        <f>VLOOKUP($A22,PMPM!$A$81:$C$104,3)</f>
        <v>1</v>
      </c>
      <c r="J22" s="73">
        <f t="shared" si="3"/>
        <v>107.90997929051117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105.29397668688533</v>
      </c>
      <c r="O22" s="120">
        <f t="shared" ref="O22:O54" si="8">AVERAGE(J21:J23)*M22</f>
        <v>105.29397668688533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6735977.6600000001</v>
      </c>
      <c r="AA22" s="53">
        <f ca="1">Final!C132</f>
        <v>278125.44846512796</v>
      </c>
      <c r="AB22" s="53">
        <f ca="1">Final!E132</f>
        <v>7014103.1084651276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33923</v>
      </c>
      <c r="C23" s="41">
        <f>Data!$BO40</f>
        <v>3673750.1315898956</v>
      </c>
      <c r="D23" s="41">
        <f>Data!$BM40</f>
        <v>3673464.629999999</v>
      </c>
      <c r="E23" s="41">
        <f t="shared" si="2"/>
        <v>285.50158989662305</v>
      </c>
      <c r="F23" s="73">
        <f t="shared" si="0"/>
        <v>108.29673471066521</v>
      </c>
      <c r="G23" s="73">
        <f t="shared" si="1"/>
        <v>8.4161657252195578E-3</v>
      </c>
      <c r="H23" s="15"/>
      <c r="I23" s="15">
        <f>VLOOKUP($A23,PMPM!$A$81:$C$104,3)</f>
        <v>1</v>
      </c>
      <c r="J23" s="73">
        <f t="shared" si="3"/>
        <v>108.29673471066521</v>
      </c>
      <c r="L23" s="2">
        <f t="shared" si="4"/>
        <v>1</v>
      </c>
      <c r="M23">
        <f t="shared" si="6"/>
        <v>1</v>
      </c>
      <c r="N23" s="120">
        <f t="shared" si="7"/>
        <v>110.32540692218294</v>
      </c>
      <c r="O23" s="120">
        <f t="shared" si="8"/>
        <v>110.32540692218294</v>
      </c>
      <c r="P23">
        <f t="shared" si="5"/>
        <v>1</v>
      </c>
      <c r="Q23" s="120">
        <f t="shared" ref="Q23:Q53" si="9">AVERAGE($F20:$F25)*P23</f>
        <v>108.21266258821616</v>
      </c>
      <c r="R23" s="120">
        <f t="shared" ref="R23:R53" si="10">AVERAGE($J20:$J25)*P23</f>
        <v>108.21266258821616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6580544.3499999829</v>
      </c>
      <c r="AA23" s="53">
        <f ca="1">Final!C131</f>
        <v>321984.24300624756</v>
      </c>
      <c r="AB23" s="53">
        <f ca="1">Final!E131</f>
        <v>6902528.5930062309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34003</v>
      </c>
      <c r="C24" s="41">
        <f>Data!$BO39</f>
        <v>3902507.5385429584</v>
      </c>
      <c r="D24" s="41">
        <f>Data!$BM39</f>
        <v>3900551.2699999944</v>
      </c>
      <c r="E24" s="41">
        <f t="shared" si="2"/>
        <v>1956.2685429640114</v>
      </c>
      <c r="F24" s="73">
        <f t="shared" si="0"/>
        <v>114.76950676537243</v>
      </c>
      <c r="G24" s="73">
        <f t="shared" si="1"/>
        <v>5.7532233713613844E-2</v>
      </c>
      <c r="H24" s="15"/>
      <c r="I24" s="15">
        <f>VLOOKUP($A24,PMPM!$A$81:$C$104,3)</f>
        <v>1</v>
      </c>
      <c r="J24" s="73">
        <f t="shared" si="3"/>
        <v>114.76950676537243</v>
      </c>
      <c r="L24" s="2">
        <f t="shared" si="4"/>
        <v>1</v>
      </c>
      <c r="M24">
        <f t="shared" si="6"/>
        <v>1</v>
      </c>
      <c r="N24" s="120">
        <f t="shared" si="7"/>
        <v>113.59873106344916</v>
      </c>
      <c r="O24" s="120">
        <f t="shared" si="8"/>
        <v>113.59873106344916</v>
      </c>
      <c r="P24">
        <f t="shared" si="5"/>
        <v>1</v>
      </c>
      <c r="Q24" s="120">
        <f t="shared" si="9"/>
        <v>111.54678433493287</v>
      </c>
      <c r="R24" s="120">
        <f t="shared" si="10"/>
        <v>111.54678433493287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6933693.2199999765</v>
      </c>
      <c r="AA24" s="53">
        <f ca="1">Final!C130</f>
        <v>375576.30862738239</v>
      </c>
      <c r="AB24" s="53">
        <f ca="1">Final!E130</f>
        <v>7309269.5286273584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34128</v>
      </c>
      <c r="C25" s="41">
        <f>Data!$BO38</f>
        <v>4017887.7921059667</v>
      </c>
      <c r="D25" s="41">
        <f>Data!$BM38</f>
        <v>4014606.4399999976</v>
      </c>
      <c r="E25" s="41">
        <f t="shared" si="2"/>
        <v>3281.3521059690975</v>
      </c>
      <c r="F25" s="73">
        <f t="shared" si="0"/>
        <v>117.72995171430985</v>
      </c>
      <c r="G25" s="73">
        <f t="shared" si="1"/>
        <v>9.6148385664823532E-2</v>
      </c>
      <c r="H25" s="15"/>
      <c r="I25" s="15">
        <f>VLOOKUP($A25,PMPM!$A$81:$C$104,3)</f>
        <v>1</v>
      </c>
      <c r="J25" s="73">
        <f t="shared" si="3"/>
        <v>117.72995171430985</v>
      </c>
      <c r="L25" s="2">
        <f t="shared" si="4"/>
        <v>1</v>
      </c>
      <c r="M25">
        <f t="shared" si="6"/>
        <v>1</v>
      </c>
      <c r="N25" s="120">
        <f t="shared" si="7"/>
        <v>117.79959198298037</v>
      </c>
      <c r="O25" s="120">
        <f t="shared" si="8"/>
        <v>117.79959198298037</v>
      </c>
      <c r="P25">
        <f t="shared" si="5"/>
        <v>1</v>
      </c>
      <c r="Q25" s="120">
        <f t="shared" si="9"/>
        <v>114.19934325585734</v>
      </c>
      <c r="R25" s="120">
        <f t="shared" si="10"/>
        <v>114.19934325585734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6840785.5099999942</v>
      </c>
      <c r="AA25" s="53">
        <f ca="1">Final!C129</f>
        <v>448934.8894059998</v>
      </c>
      <c r="AB25" s="53">
        <f ca="1">Final!E129</f>
        <v>7289720.3994059935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34275</v>
      </c>
      <c r="C26" s="41">
        <f>Data!$BO37</f>
        <v>4143824.1062588468</v>
      </c>
      <c r="D26" s="41">
        <f>Data!$BM37</f>
        <v>4139368.6699999976</v>
      </c>
      <c r="E26" s="41">
        <f t="shared" si="2"/>
        <v>4455.4362588492222</v>
      </c>
      <c r="F26" s="73">
        <f t="shared" si="0"/>
        <v>120.89931746925885</v>
      </c>
      <c r="G26" s="73">
        <f t="shared" si="1"/>
        <v>0.12999084635592187</v>
      </c>
      <c r="H26" s="15"/>
      <c r="I26" s="15">
        <f>VLOOKUP($A26,PMPM!$A$81:$C$104,3)</f>
        <v>1</v>
      </c>
      <c r="J26" s="73">
        <f t="shared" si="3"/>
        <v>120.89931746925885</v>
      </c>
      <c r="L26" s="2">
        <f t="shared" si="4"/>
        <v>1</v>
      </c>
      <c r="M26">
        <f t="shared" si="6"/>
        <v>1</v>
      </c>
      <c r="N26" s="120">
        <f t="shared" si="7"/>
        <v>118.07327958953175</v>
      </c>
      <c r="O26" s="120">
        <f t="shared" si="8"/>
        <v>118.07327958953175</v>
      </c>
      <c r="P26">
        <f t="shared" si="5"/>
        <v>1</v>
      </c>
      <c r="Q26" s="120">
        <f t="shared" si="9"/>
        <v>115.09034372016781</v>
      </c>
      <c r="R26" s="120">
        <f t="shared" si="10"/>
        <v>115.09034372016781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7148450.3899999894</v>
      </c>
      <c r="AA26" s="53">
        <f ca="1">Final!C128</f>
        <v>526363.13940599887</v>
      </c>
      <c r="AB26" s="53">
        <f ca="1">Final!E128</f>
        <v>7674813.5294059888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34312</v>
      </c>
      <c r="C27" s="41">
        <f>Data!$BO36</f>
        <v>3966143.6236014315</v>
      </c>
      <c r="D27" s="41">
        <f>Data!$BM36</f>
        <v>3960536.4299999978</v>
      </c>
      <c r="E27" s="41">
        <f t="shared" si="2"/>
        <v>5607.1936014336534</v>
      </c>
      <c r="F27" s="73">
        <f t="shared" si="0"/>
        <v>115.59056958502657</v>
      </c>
      <c r="G27" s="73">
        <f t="shared" si="1"/>
        <v>0.16341785968272479</v>
      </c>
      <c r="H27" s="15"/>
      <c r="I27" s="15">
        <f>VLOOKUP($A27,PMPM!$A$81:$C$104,3)</f>
        <v>1</v>
      </c>
      <c r="J27" s="73">
        <f t="shared" si="3"/>
        <v>115.59056958502657</v>
      </c>
      <c r="L27" s="2">
        <f t="shared" si="4"/>
        <v>1</v>
      </c>
      <c r="M27">
        <f t="shared" si="6"/>
        <v>1</v>
      </c>
      <c r="N27" s="120">
        <f t="shared" si="7"/>
        <v>116.58195637688645</v>
      </c>
      <c r="O27" s="120">
        <f t="shared" si="8"/>
        <v>116.58195637688645</v>
      </c>
      <c r="P27">
        <f t="shared" si="5"/>
        <v>1</v>
      </c>
      <c r="Q27" s="120">
        <f t="shared" si="9"/>
        <v>114.1633284376632</v>
      </c>
      <c r="R27" s="120">
        <f t="shared" si="10"/>
        <v>114.1633284376632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7204277.3899999894</v>
      </c>
      <c r="AA27" s="53">
        <f ca="1">Final!C127</f>
        <v>623772.52940599946</v>
      </c>
      <c r="AB27" s="53">
        <f ca="1">Final!E127</f>
        <v>7828049.9194059893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34368</v>
      </c>
      <c r="C28" s="41">
        <f>Data!$BO35</f>
        <v>3892381.5920008197</v>
      </c>
      <c r="D28" s="41">
        <f>Data!$BM35</f>
        <v>3885665.2800000012</v>
      </c>
      <c r="E28" s="41">
        <f t="shared" si="2"/>
        <v>6716.3120008185506</v>
      </c>
      <c r="F28" s="73">
        <f t="shared" si="0"/>
        <v>113.25598207637394</v>
      </c>
      <c r="G28" s="73">
        <f t="shared" si="1"/>
        <v>0.19542341715603326</v>
      </c>
      <c r="H28" s="15"/>
      <c r="I28" s="15">
        <f>VLOOKUP($A28,PMPM!$A$81:$C$104,3)</f>
        <v>1</v>
      </c>
      <c r="J28" s="73">
        <f t="shared" si="3"/>
        <v>113.25598207637394</v>
      </c>
      <c r="L28" s="2">
        <f t="shared" si="4"/>
        <v>1</v>
      </c>
      <c r="M28">
        <f t="shared" si="6"/>
        <v>1</v>
      </c>
      <c r="N28" s="120">
        <f t="shared" si="7"/>
        <v>110.527064892346</v>
      </c>
      <c r="O28" s="120">
        <f t="shared" si="8"/>
        <v>110.527064892346</v>
      </c>
      <c r="P28">
        <f t="shared" si="5"/>
        <v>1</v>
      </c>
      <c r="Q28" s="120">
        <f t="shared" si="9"/>
        <v>112.74585782753446</v>
      </c>
      <c r="R28" s="120">
        <f t="shared" si="10"/>
        <v>112.74585782753446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7205357.4899999779</v>
      </c>
      <c r="AA28" s="53">
        <f ca="1">Final!C126</f>
        <v>742631.08940600837</v>
      </c>
      <c r="AB28" s="53">
        <f ca="1">Final!E126</f>
        <v>7947988.5794059858</v>
      </c>
    </row>
    <row r="29" spans="1:40" x14ac:dyDescent="0.2">
      <c r="A29" s="121">
        <f>Data!AN34</f>
        <v>44562</v>
      </c>
      <c r="B29" s="41">
        <f>Data!AO34</f>
        <v>34854</v>
      </c>
      <c r="C29" s="41">
        <f>Data!$BO34</f>
        <v>3580713.2476670295</v>
      </c>
      <c r="D29" s="41">
        <f>Data!$BM34</f>
        <v>3574534.7200000044</v>
      </c>
      <c r="E29" s="41">
        <f t="shared" si="2"/>
        <v>6178.5276670251042</v>
      </c>
      <c r="F29" s="73">
        <f t="shared" si="0"/>
        <v>102.7346430156375</v>
      </c>
      <c r="G29" s="73">
        <f t="shared" si="1"/>
        <v>0.17726882616127573</v>
      </c>
      <c r="H29" s="15"/>
      <c r="I29" s="15">
        <f>VLOOKUP($A29,PMPM!$A$81:$C$104,3)</f>
        <v>1</v>
      </c>
      <c r="J29" s="73">
        <f t="shared" si="3"/>
        <v>102.7346430156375</v>
      </c>
      <c r="L29" s="2">
        <f t="shared" si="4"/>
        <v>1</v>
      </c>
      <c r="M29">
        <f t="shared" si="6"/>
        <v>1</v>
      </c>
      <c r="N29" s="120">
        <f t="shared" si="7"/>
        <v>107.41843606553721</v>
      </c>
      <c r="O29" s="120">
        <f t="shared" si="8"/>
        <v>107.41843606553721</v>
      </c>
      <c r="P29">
        <f t="shared" si="5"/>
        <v>1</v>
      </c>
      <c r="Q29" s="120">
        <f t="shared" si="9"/>
        <v>113.87291468308784</v>
      </c>
      <c r="R29" s="120">
        <f t="shared" si="10"/>
        <v>113.87291468308784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7341125.9199999887</v>
      </c>
      <c r="AA29" s="53">
        <f ca="1">Final!C125</f>
        <v>880126.56940602371</v>
      </c>
      <c r="AB29" s="53">
        <f ca="1">Final!E125</f>
        <v>8221252.489406012</v>
      </c>
    </row>
    <row r="30" spans="1:40" x14ac:dyDescent="0.2">
      <c r="A30" s="121">
        <f>Data!AN33</f>
        <v>44593</v>
      </c>
      <c r="B30" s="41">
        <f>Data!AO33</f>
        <v>34805</v>
      </c>
      <c r="C30" s="41">
        <f>Data!$BO33</f>
        <v>3698542.2954556099</v>
      </c>
      <c r="D30" s="41">
        <f>Data!$BM33</f>
        <v>3692141.0800000052</v>
      </c>
      <c r="E30" s="41">
        <f t="shared" si="2"/>
        <v>6401.2154556047171</v>
      </c>
      <c r="F30" s="73">
        <f t="shared" si="0"/>
        <v>106.26468310460019</v>
      </c>
      <c r="G30" s="73">
        <f t="shared" si="1"/>
        <v>0.18391654807081503</v>
      </c>
      <c r="H30" s="15"/>
      <c r="I30" s="15">
        <f>VLOOKUP($A30,PMPM!$A$81:$C$104,3)</f>
        <v>1</v>
      </c>
      <c r="J30" s="73">
        <f t="shared" si="3"/>
        <v>106.26468310460019</v>
      </c>
      <c r="L30" s="2">
        <f t="shared" si="4"/>
        <v>1</v>
      </c>
      <c r="M30">
        <f t="shared" si="6"/>
        <v>1</v>
      </c>
      <c r="N30" s="120">
        <f t="shared" si="7"/>
        <v>111.16387298928923</v>
      </c>
      <c r="O30" s="120">
        <f t="shared" si="8"/>
        <v>111.16387298928923</v>
      </c>
      <c r="P30">
        <f t="shared" si="5"/>
        <v>1</v>
      </c>
      <c r="Q30" s="120">
        <f t="shared" si="9"/>
        <v>112.65073149923825</v>
      </c>
      <c r="R30" s="120">
        <f t="shared" si="10"/>
        <v>112.65073149923825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7700551.1600000113</v>
      </c>
      <c r="AA30" s="53">
        <f ca="1">Final!C124</f>
        <v>1058207.5694060097</v>
      </c>
      <c r="AB30" s="53">
        <f ca="1">Final!E124</f>
        <v>8758758.7294060215</v>
      </c>
    </row>
    <row r="31" spans="1:40" x14ac:dyDescent="0.2">
      <c r="A31" s="121">
        <f>Data!AN32</f>
        <v>44621</v>
      </c>
      <c r="B31" s="41">
        <f>Data!AO32</f>
        <v>34838</v>
      </c>
      <c r="C31" s="41">
        <f>Data!$BO32</f>
        <v>4337062.4982257327</v>
      </c>
      <c r="D31" s="41">
        <f>Data!$BM32</f>
        <v>4328926.950000002</v>
      </c>
      <c r="E31" s="41">
        <f t="shared" si="2"/>
        <v>8135.5482257306576</v>
      </c>
      <c r="F31" s="73">
        <f t="shared" si="0"/>
        <v>124.49229284762997</v>
      </c>
      <c r="G31" s="73">
        <f t="shared" si="1"/>
        <v>0.23352512273180601</v>
      </c>
      <c r="H31" s="15"/>
      <c r="I31" s="15">
        <f>VLOOKUP($A31,PMPM!$A$81:$C$104,3)</f>
        <v>1</v>
      </c>
      <c r="J31" s="73">
        <f t="shared" si="3"/>
        <v>124.49229284762997</v>
      </c>
      <c r="L31" s="2">
        <f t="shared" si="4"/>
        <v>1</v>
      </c>
      <c r="M31">
        <f t="shared" si="6"/>
        <v>1</v>
      </c>
      <c r="N31" s="120">
        <f t="shared" si="7"/>
        <v>114.7743981061305</v>
      </c>
      <c r="O31" s="120">
        <f t="shared" si="8"/>
        <v>114.7743981061305</v>
      </c>
      <c r="P31">
        <f t="shared" si="5"/>
        <v>1</v>
      </c>
      <c r="Q31" s="120">
        <f t="shared" si="9"/>
        <v>112.6633057319781</v>
      </c>
      <c r="R31" s="120">
        <f t="shared" si="10"/>
        <v>112.6633057319781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7559629.2599999961</v>
      </c>
      <c r="AA31" s="53">
        <f ca="1">Final!C123</f>
        <v>1263508.049406013</v>
      </c>
      <c r="AB31" s="53">
        <f ca="1">Final!E123</f>
        <v>8823137.3094060086</v>
      </c>
    </row>
    <row r="32" spans="1:40" x14ac:dyDescent="0.2">
      <c r="A32" s="121">
        <f>Data!AN31</f>
        <v>44652</v>
      </c>
      <c r="B32" s="41">
        <f>Data!AO31</f>
        <v>34912</v>
      </c>
      <c r="C32" s="41">
        <f>Data!$BO31</f>
        <v>3964823.8155994257</v>
      </c>
      <c r="D32" s="41">
        <f>Data!$BM31</f>
        <v>3950978.1900000079</v>
      </c>
      <c r="E32" s="41">
        <f t="shared" si="2"/>
        <v>13845.625599417835</v>
      </c>
      <c r="F32" s="73">
        <f t="shared" si="0"/>
        <v>113.56621836616137</v>
      </c>
      <c r="G32" s="73">
        <f t="shared" si="1"/>
        <v>0.3965864344471195</v>
      </c>
      <c r="H32" s="15"/>
      <c r="I32" s="15">
        <f>VLOOKUP($A32,PMPM!$A$81:$C$104,3)</f>
        <v>1</v>
      </c>
      <c r="J32" s="73">
        <f t="shared" si="3"/>
        <v>113.56621836616137</v>
      </c>
      <c r="L32" s="2">
        <f t="shared" si="4"/>
        <v>1</v>
      </c>
      <c r="M32">
        <f t="shared" si="6"/>
        <v>1</v>
      </c>
      <c r="N32" s="120">
        <f t="shared" si="7"/>
        <v>117.908175398419</v>
      </c>
      <c r="O32" s="120">
        <f t="shared" si="8"/>
        <v>117.908175398419</v>
      </c>
      <c r="P32">
        <f t="shared" si="5"/>
        <v>1</v>
      </c>
      <c r="Q32" s="120">
        <f t="shared" si="9"/>
        <v>113.5043190260684</v>
      </c>
      <c r="R32" s="120">
        <f t="shared" si="10"/>
        <v>113.5043190260684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7542741.7800000049</v>
      </c>
      <c r="AA32" s="53">
        <f ca="1">Final!C122</f>
        <v>1539808.0694060172</v>
      </c>
      <c r="AB32" s="53">
        <f ca="1">Final!E122</f>
        <v>9082549.8494060226</v>
      </c>
    </row>
    <row r="33" spans="1:28" x14ac:dyDescent="0.2">
      <c r="A33" s="121">
        <f>Data!AN30</f>
        <v>44682</v>
      </c>
      <c r="B33" s="41">
        <f>Data!AO30</f>
        <v>35020</v>
      </c>
      <c r="C33" s="41">
        <f>Data!$BO30</f>
        <v>4050623.8446509261</v>
      </c>
      <c r="D33" s="41">
        <f>Data!$BM30</f>
        <v>4033103.6400000071</v>
      </c>
      <c r="E33" s="41">
        <f t="shared" si="2"/>
        <v>17520.204650918953</v>
      </c>
      <c r="F33" s="73">
        <f t="shared" si="0"/>
        <v>115.66601498146562</v>
      </c>
      <c r="G33" s="73">
        <f t="shared" si="1"/>
        <v>0.500291394943431</v>
      </c>
      <c r="H33" s="15"/>
      <c r="I33" s="15">
        <f>VLOOKUP($A33,PMPM!$A$81:$C$104,3)</f>
        <v>1</v>
      </c>
      <c r="J33" s="73">
        <f t="shared" si="3"/>
        <v>115.66601498146562</v>
      </c>
      <c r="L33" s="2">
        <f t="shared" si="4"/>
        <v>1</v>
      </c>
      <c r="M33">
        <f t="shared" si="6"/>
        <v>1</v>
      </c>
      <c r="N33" s="120">
        <f t="shared" si="7"/>
        <v>115.84476506284757</v>
      </c>
      <c r="O33" s="120">
        <f t="shared" si="8"/>
        <v>115.84476506284757</v>
      </c>
      <c r="P33">
        <f t="shared" si="5"/>
        <v>1</v>
      </c>
      <c r="Q33" s="120">
        <f t="shared" si="9"/>
        <v>115.39976067069767</v>
      </c>
      <c r="R33" s="120">
        <f t="shared" si="10"/>
        <v>115.39976067069767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7448814.6899999995</v>
      </c>
      <c r="AA33" s="53">
        <f ca="1">Final!C121</f>
        <v>1831796.6594060189</v>
      </c>
      <c r="AB33" s="53">
        <f ca="1">Final!E121</f>
        <v>9280611.3494060189</v>
      </c>
    </row>
    <row r="34" spans="1:28" x14ac:dyDescent="0.2">
      <c r="A34" s="121">
        <f>Data!AN29</f>
        <v>44713</v>
      </c>
      <c r="B34" s="41">
        <f>Data!AO29</f>
        <v>35204</v>
      </c>
      <c r="C34" s="41">
        <f>Data!$BO29</f>
        <v>4164705.7850475973</v>
      </c>
      <c r="D34" s="41">
        <f>Data!$BM29</f>
        <v>4145111.1000000094</v>
      </c>
      <c r="E34" s="41">
        <f t="shared" si="2"/>
        <v>19594.685047587845</v>
      </c>
      <c r="F34" s="73">
        <f t="shared" si="0"/>
        <v>118.30206184091573</v>
      </c>
      <c r="G34" s="73">
        <f t="shared" si="1"/>
        <v>0.55660393840438149</v>
      </c>
      <c r="H34" s="15"/>
      <c r="I34" s="15">
        <f>VLOOKUP($A34,PMPM!$A$81:$C$104,3)</f>
        <v>1</v>
      </c>
      <c r="J34" s="73">
        <f t="shared" si="3"/>
        <v>118.30206184091573</v>
      </c>
      <c r="L34" s="2">
        <f t="shared" si="4"/>
        <v>1</v>
      </c>
      <c r="M34">
        <f t="shared" si="6"/>
        <v>1</v>
      </c>
      <c r="N34" s="120">
        <f t="shared" si="7"/>
        <v>116.02512323526484</v>
      </c>
      <c r="O34" s="120">
        <f t="shared" si="8"/>
        <v>116.02512323526484</v>
      </c>
      <c r="P34">
        <f t="shared" si="5"/>
        <v>1</v>
      </c>
      <c r="Q34" s="120">
        <f t="shared" si="9"/>
        <v>119.21629943200766</v>
      </c>
      <c r="R34" s="120">
        <f t="shared" si="10"/>
        <v>119.21629943200766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6727628.2099999897</v>
      </c>
      <c r="AA34" s="53">
        <f ca="1">Final!C120</f>
        <v>2209996.4194060261</v>
      </c>
      <c r="AB34" s="53">
        <f ca="1">Final!E120</f>
        <v>8937624.6294060163</v>
      </c>
    </row>
    <row r="35" spans="1:28" x14ac:dyDescent="0.2">
      <c r="A35" s="121">
        <f>Data!AN28</f>
        <v>44743</v>
      </c>
      <c r="B35" s="41">
        <f>Data!AO28</f>
        <v>35445</v>
      </c>
      <c r="C35" s="41">
        <f>Data!$BO28</f>
        <v>4044532.9962525791</v>
      </c>
      <c r="D35" s="41">
        <f>Data!$BM28</f>
        <v>4023769.4900000077</v>
      </c>
      <c r="E35" s="41">
        <f t="shared" si="2"/>
        <v>20763.506252571475</v>
      </c>
      <c r="F35" s="73">
        <f t="shared" si="0"/>
        <v>114.10729288341315</v>
      </c>
      <c r="G35" s="73">
        <f t="shared" si="1"/>
        <v>0.58579506989904007</v>
      </c>
      <c r="H35" s="15"/>
      <c r="I35" s="15">
        <f>VLOOKUP($A35,PMPM!$A$81:$C$104,3)</f>
        <v>1</v>
      </c>
      <c r="J35" s="73">
        <f t="shared" si="3"/>
        <v>114.10729288341315</v>
      </c>
      <c r="L35" s="2">
        <f t="shared" si="4"/>
        <v>1</v>
      </c>
      <c r="M35">
        <f t="shared" si="6"/>
        <v>1</v>
      </c>
      <c r="N35" s="120">
        <f t="shared" si="7"/>
        <v>120.52442346559633</v>
      </c>
      <c r="O35" s="120">
        <f t="shared" si="8"/>
        <v>120.52442346559633</v>
      </c>
      <c r="P35">
        <f t="shared" si="5"/>
        <v>1</v>
      </c>
      <c r="Q35" s="120">
        <f t="shared" si="9"/>
        <v>119.38231213016569</v>
      </c>
      <c r="R35" s="120">
        <f t="shared" si="10"/>
        <v>119.38231213016569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4810334.1699999925</v>
      </c>
      <c r="AA35" s="53">
        <f ca="1">Final!C119</f>
        <v>2861037.2794060339</v>
      </c>
      <c r="AB35" s="53">
        <f ca="1">Final!E119</f>
        <v>7671371.4494060259</v>
      </c>
    </row>
    <row r="36" spans="1:28" x14ac:dyDescent="0.2">
      <c r="A36" s="121">
        <f>Data!AN27</f>
        <v>44774</v>
      </c>
      <c r="B36" s="41">
        <f>Data!AO27</f>
        <v>35634</v>
      </c>
      <c r="C36" s="41">
        <f>Data!$BO27</f>
        <v>4602626.9710724428</v>
      </c>
      <c r="D36" s="41">
        <f>Data!$BM27</f>
        <v>4576387.1400000164</v>
      </c>
      <c r="E36" s="41">
        <f t="shared" si="2"/>
        <v>26239.831072426401</v>
      </c>
      <c r="F36" s="73">
        <f t="shared" si="0"/>
        <v>129.16391567246009</v>
      </c>
      <c r="G36" s="73">
        <f t="shared" si="1"/>
        <v>0.73637063120689228</v>
      </c>
      <c r="H36" s="15"/>
      <c r="I36" s="15">
        <f>VLOOKUP($A36,PMPM!$A$81:$C$104,3)</f>
        <v>1</v>
      </c>
      <c r="J36" s="73">
        <f t="shared" si="3"/>
        <v>129.16391567246009</v>
      </c>
      <c r="L36" s="2">
        <f t="shared" si="4"/>
        <v>1</v>
      </c>
      <c r="M36">
        <f t="shared" si="6"/>
        <v>1</v>
      </c>
      <c r="N36" s="120">
        <f t="shared" si="7"/>
        <v>122.91985919748379</v>
      </c>
      <c r="O36" s="120">
        <f t="shared" si="8"/>
        <v>122.91985919748379</v>
      </c>
      <c r="P36">
        <f t="shared" si="5"/>
        <v>1</v>
      </c>
      <c r="Q36" s="120">
        <f t="shared" si="9"/>
        <v>121.6610274610419</v>
      </c>
      <c r="R36" s="120">
        <f t="shared" si="10"/>
        <v>121.6610274610419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3306268.6899999976</v>
      </c>
      <c r="AA36" s="53">
        <f ca="1">Final!C118</f>
        <v>4901094.1094060354</v>
      </c>
      <c r="AB36" s="53">
        <f ca="1">Final!E118</f>
        <v>8207362.799406033</v>
      </c>
    </row>
    <row r="37" spans="1:28" x14ac:dyDescent="0.2">
      <c r="A37" s="121">
        <f>Data!AN26</f>
        <v>44805</v>
      </c>
      <c r="B37" s="41">
        <f>Data!AO26</f>
        <v>35855</v>
      </c>
      <c r="C37" s="41">
        <f>Data!$BO26</f>
        <v>4499385.4718065085</v>
      </c>
      <c r="D37" s="41">
        <f>Data!$BM26</f>
        <v>4471030.9000000125</v>
      </c>
      <c r="E37" s="41">
        <f t="shared" si="2"/>
        <v>28354.571806496009</v>
      </c>
      <c r="F37" s="73">
        <f t="shared" si="0"/>
        <v>125.48836903657812</v>
      </c>
      <c r="G37" s="73">
        <f t="shared" si="1"/>
        <v>0.79081221047262606</v>
      </c>
      <c r="H37" s="15"/>
      <c r="I37" s="15">
        <f>VLOOKUP($A37,PMPM!$A$81:$C$104,3)</f>
        <v>1</v>
      </c>
      <c r="J37" s="73">
        <f t="shared" si="3"/>
        <v>125.48836903657812</v>
      </c>
      <c r="L37" s="2">
        <f t="shared" si="4"/>
        <v>1</v>
      </c>
      <c r="M37">
        <f t="shared" si="6"/>
        <v>1</v>
      </c>
      <c r="N37" s="120">
        <f t="shared" si="7"/>
        <v>127.29693168681895</v>
      </c>
      <c r="O37" s="120">
        <f t="shared" si="8"/>
        <v>127.29693168681895</v>
      </c>
      <c r="P37">
        <f t="shared" si="5"/>
        <v>1</v>
      </c>
      <c r="Q37" s="120">
        <f t="shared" si="9"/>
        <v>122.30571863485011</v>
      </c>
      <c r="R37" s="120">
        <f t="shared" si="10"/>
        <v>122.30571863485011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8797051.5894060358</v>
      </c>
      <c r="AB37" s="53">
        <f ca="1">Final!E117</f>
        <v>8797051.5894060358</v>
      </c>
    </row>
    <row r="38" spans="1:28" x14ac:dyDescent="0.2">
      <c r="A38" s="121">
        <f>Data!AN25</f>
        <v>44835</v>
      </c>
      <c r="B38" s="41">
        <f>Data!AO25</f>
        <v>36846</v>
      </c>
      <c r="C38" s="41">
        <f>Data!$BO25</f>
        <v>4688230.1524083707</v>
      </c>
      <c r="D38" s="41">
        <f>Data!$BM25</f>
        <v>4654030.8600000069</v>
      </c>
      <c r="E38" s="41">
        <f t="shared" si="2"/>
        <v>34199.292408363894</v>
      </c>
      <c r="F38" s="73">
        <f t="shared" si="0"/>
        <v>127.23851035141863</v>
      </c>
      <c r="G38" s="73">
        <f t="shared" si="1"/>
        <v>0.92816838756890552</v>
      </c>
      <c r="H38" s="15"/>
      <c r="I38" s="15">
        <f>VLOOKUP($A38,PMPM!$A$81:$C$104,3)</f>
        <v>1</v>
      </c>
      <c r="J38" s="73">
        <f t="shared" si="3"/>
        <v>127.23851035141863</v>
      </c>
      <c r="L38" s="2">
        <f t="shared" si="4"/>
        <v>1</v>
      </c>
      <c r="M38">
        <f t="shared" si="6"/>
        <v>1</v>
      </c>
      <c r="N38" s="120">
        <f t="shared" si="7"/>
        <v>124.08701380410388</v>
      </c>
      <c r="O38" s="120">
        <f t="shared" si="8"/>
        <v>124.08701380410388</v>
      </c>
      <c r="P38">
        <f t="shared" si="5"/>
        <v>1</v>
      </c>
      <c r="Q38" s="120">
        <f t="shared" si="9"/>
        <v>122.56748305125792</v>
      </c>
      <c r="R38" s="120">
        <f t="shared" si="10"/>
        <v>122.56748305125792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36903</v>
      </c>
      <c r="C39" s="41">
        <f>Data!$BO24</f>
        <v>4411169.1811832916</v>
      </c>
      <c r="D39" s="41">
        <f>Data!$BM24</f>
        <v>4375399.0900000129</v>
      </c>
      <c r="E39" s="41">
        <f t="shared" si="2"/>
        <v>35770.09118327871</v>
      </c>
      <c r="F39" s="73">
        <f t="shared" si="0"/>
        <v>119.53416202431487</v>
      </c>
      <c r="G39" s="73">
        <f t="shared" si="1"/>
        <v>0.96930035995118846</v>
      </c>
      <c r="H39" s="15"/>
      <c r="I39" s="15">
        <f>VLOOKUP($A39,PMPM!$A$81:$C$104,3)</f>
        <v>1</v>
      </c>
      <c r="J39" s="73">
        <f t="shared" si="3"/>
        <v>119.53416202431487</v>
      </c>
      <c r="L39" s="2">
        <f t="shared" si="4"/>
        <v>1</v>
      </c>
      <c r="M39">
        <f t="shared" si="6"/>
        <v>1</v>
      </c>
      <c r="N39" s="120">
        <f t="shared" si="7"/>
        <v>122.21510690503203</v>
      </c>
      <c r="O39" s="120">
        <f t="shared" si="8"/>
        <v>122.21510690503203</v>
      </c>
      <c r="P39">
        <f t="shared" si="5"/>
        <v>1</v>
      </c>
      <c r="Q39" s="120">
        <f t="shared" si="9"/>
        <v>122.88523022526658</v>
      </c>
      <c r="R39" s="120">
        <f t="shared" si="10"/>
        <v>122.88523022526658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36964</v>
      </c>
      <c r="C40" s="41">
        <f>Data!$BO23</f>
        <v>4430972.5732161999</v>
      </c>
      <c r="D40" s="41">
        <f>Data!$BM23</f>
        <v>4392206.6300000092</v>
      </c>
      <c r="E40" s="41">
        <f t="shared" si="2"/>
        <v>38765.943216190673</v>
      </c>
      <c r="F40" s="73">
        <f t="shared" si="0"/>
        <v>119.87264833936263</v>
      </c>
      <c r="G40" s="73">
        <f t="shared" si="1"/>
        <v>1.0487485990745231</v>
      </c>
      <c r="H40" s="15"/>
      <c r="I40" s="15">
        <f>VLOOKUP($A40,PMPM!$A$81:$C$104,3)</f>
        <v>1</v>
      </c>
      <c r="J40" s="73">
        <f t="shared" si="3"/>
        <v>119.87264833936263</v>
      </c>
      <c r="L40" s="2">
        <f t="shared" si="4"/>
        <v>1</v>
      </c>
      <c r="M40">
        <f t="shared" si="6"/>
        <v>1</v>
      </c>
      <c r="N40" s="120">
        <f t="shared" si="7"/>
        <v>118.47352876371419</v>
      </c>
      <c r="O40" s="120">
        <f t="shared" si="8"/>
        <v>118.47352876371419</v>
      </c>
      <c r="P40">
        <f t="shared" si="5"/>
        <v>1</v>
      </c>
      <c r="Q40" s="120">
        <f t="shared" si="9"/>
        <v>120.93742153691777</v>
      </c>
      <c r="R40" s="120">
        <f t="shared" si="10"/>
        <v>120.93742153691777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37539</v>
      </c>
      <c r="C41" s="41">
        <f>Data!$BO22</f>
        <v>4355041.134541112</v>
      </c>
      <c r="D41" s="41">
        <f>Data!$BM22</f>
        <v>4311182.3399999924</v>
      </c>
      <c r="E41" s="41">
        <f t="shared" si="2"/>
        <v>43858.794541119598</v>
      </c>
      <c r="F41" s="73">
        <f t="shared" si="0"/>
        <v>116.01377592746509</v>
      </c>
      <c r="G41" s="73">
        <f t="shared" si="1"/>
        <v>1.1683527675516023</v>
      </c>
      <c r="H41" s="15"/>
      <c r="I41" s="15">
        <f>VLOOKUP($A41,PMPM!$A$81:$C$104,3)</f>
        <v>1</v>
      </c>
      <c r="J41" s="73">
        <f t="shared" si="3"/>
        <v>116.01377592746509</v>
      </c>
      <c r="L41" s="2">
        <f t="shared" si="4"/>
        <v>1</v>
      </c>
      <c r="M41">
        <f t="shared" si="6"/>
        <v>1</v>
      </c>
      <c r="N41" s="120">
        <f t="shared" si="7"/>
        <v>117.78782926973163</v>
      </c>
      <c r="O41" s="120">
        <f t="shared" si="8"/>
        <v>117.78782926973163</v>
      </c>
      <c r="P41">
        <f t="shared" si="5"/>
        <v>1</v>
      </c>
      <c r="Q41" s="120">
        <f t="shared" si="9"/>
        <v>122.28335798331818</v>
      </c>
      <c r="R41" s="120">
        <f t="shared" si="10"/>
        <v>122.28335798331818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37591</v>
      </c>
      <c r="C42" s="41">
        <f>Data!$BO21</f>
        <v>4416080.295621125</v>
      </c>
      <c r="D42" s="41">
        <f>Data!$BM21</f>
        <v>4362488.2299999902</v>
      </c>
      <c r="E42" s="41">
        <f t="shared" si="2"/>
        <v>53592.065621134825</v>
      </c>
      <c r="F42" s="73">
        <f t="shared" si="0"/>
        <v>117.47706354236719</v>
      </c>
      <c r="G42" s="73">
        <f t="shared" si="1"/>
        <v>1.4256621430963481</v>
      </c>
      <c r="H42" s="15"/>
      <c r="I42" s="15">
        <f>VLOOKUP($A42,PMPM!$A$81:$C$104,3)</f>
        <v>1</v>
      </c>
      <c r="J42" s="73">
        <f t="shared" si="3"/>
        <v>117.47706354236719</v>
      </c>
      <c r="L42" s="2">
        <f t="shared" si="4"/>
        <v>1</v>
      </c>
      <c r="M42">
        <f t="shared" si="6"/>
        <v>1</v>
      </c>
      <c r="N42" s="120">
        <f t="shared" si="7"/>
        <v>122.35160906160434</v>
      </c>
      <c r="O42" s="120">
        <f t="shared" si="8"/>
        <v>122.35160906160434</v>
      </c>
      <c r="P42">
        <f t="shared" ca="1" si="5"/>
        <v>1</v>
      </c>
      <c r="Q42" s="120">
        <f t="shared" ca="1" si="9"/>
        <v>120.8446009189651</v>
      </c>
      <c r="R42" s="120">
        <f t="shared" ca="1" si="10"/>
        <v>120.8446009189651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37869</v>
      </c>
      <c r="C43" s="41">
        <f>Data!$BO20</f>
        <v>5057934.6507786037</v>
      </c>
      <c r="D43" s="41">
        <f>Data!$BM20</f>
        <v>4984576.0699999863</v>
      </c>
      <c r="E43" s="41">
        <f t="shared" si="2"/>
        <v>73358.580778617412</v>
      </c>
      <c r="F43" s="73">
        <f t="shared" si="0"/>
        <v>133.5639877149807</v>
      </c>
      <c r="G43" s="73">
        <f t="shared" si="1"/>
        <v>1.9371670965332439</v>
      </c>
      <c r="H43" s="15"/>
      <c r="I43" s="15">
        <f>VLOOKUP($A43,PMPM!$A$81:$C$104,3)</f>
        <v>1</v>
      </c>
      <c r="J43" s="73">
        <f t="shared" si="3"/>
        <v>133.5639877149807</v>
      </c>
      <c r="L43" s="2">
        <f t="shared" si="4"/>
        <v>1</v>
      </c>
      <c r="M43">
        <f t="shared" ca="1" si="6"/>
        <v>1</v>
      </c>
      <c r="N43" s="120">
        <f t="shared" ca="1" si="7"/>
        <v>123.21567307421599</v>
      </c>
      <c r="O43" s="120">
        <f t="shared" ca="1" si="8"/>
        <v>123.21567307421599</v>
      </c>
      <c r="P43">
        <f t="shared" ca="1" si="5"/>
        <v>1</v>
      </c>
      <c r="Q43" s="120">
        <f t="shared" ca="1" si="9"/>
        <v>121.64511381178606</v>
      </c>
      <c r="R43" s="120">
        <f t="shared" ca="1" si="10"/>
        <v>121.64511381178606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38271</v>
      </c>
      <c r="C44" s="123">
        <f ca="1">Final!$X22</f>
        <v>4539169</v>
      </c>
      <c r="D44" s="41">
        <f>Data!$BM19</f>
        <v>4461740.7500000009</v>
      </c>
      <c r="E44" s="41">
        <f t="shared" ca="1" si="2"/>
        <v>77428.249999999069</v>
      </c>
      <c r="F44" s="73">
        <f t="shared" ca="1" si="0"/>
        <v>118.6059679653001</v>
      </c>
      <c r="G44" s="73">
        <f t="shared" ca="1" si="1"/>
        <v>2.0231572208721764</v>
      </c>
      <c r="H44" s="15"/>
      <c r="I44" s="15">
        <f>VLOOKUP($A44,PMPM!$A$81:$C$104,3)</f>
        <v>1</v>
      </c>
      <c r="J44" s="73">
        <f t="shared" ca="1" si="3"/>
        <v>118.6059679653001</v>
      </c>
      <c r="L44" s="2">
        <f t="shared" ca="1" si="4"/>
        <v>1</v>
      </c>
      <c r="M44">
        <f t="shared" ca="1" si="6"/>
        <v>1</v>
      </c>
      <c r="N44" s="120">
        <f t="shared" ca="1" si="7"/>
        <v>125.50239835384048</v>
      </c>
      <c r="O44" s="120">
        <f t="shared" ca="1" si="8"/>
        <v>125.50239835384048</v>
      </c>
      <c r="P44">
        <f t="shared" ca="1" si="5"/>
        <v>1</v>
      </c>
      <c r="Q44" s="120">
        <f t="shared" ca="1" si="9"/>
        <v>122.7546048711114</v>
      </c>
      <c r="R44" s="120">
        <f t="shared" ca="1" si="10"/>
        <v>122.7546048711114</v>
      </c>
    </row>
    <row r="45" spans="1:28" x14ac:dyDescent="0.2">
      <c r="A45" s="121">
        <f>Data!AN18</f>
        <v>45047</v>
      </c>
      <c r="B45" s="41">
        <f>Data!AO18</f>
        <v>38658</v>
      </c>
      <c r="C45" s="123">
        <f ca="1">Final!$X21</f>
        <v>4806629</v>
      </c>
      <c r="D45" s="41">
        <f>Data!$BM18</f>
        <v>4709219.6099999994</v>
      </c>
      <c r="E45" s="41">
        <f t="shared" ca="1" si="2"/>
        <v>97409.390000000596</v>
      </c>
      <c r="F45" s="73">
        <f t="shared" ca="1" si="0"/>
        <v>124.33723938124062</v>
      </c>
      <c r="G45" s="73">
        <f t="shared" ca="1" si="1"/>
        <v>2.5197731388069893</v>
      </c>
      <c r="H45" s="15"/>
      <c r="I45" s="15">
        <f>VLOOKUP($A45,PMPM!$A$81:$C$104,3)</f>
        <v>1</v>
      </c>
      <c r="J45" s="73">
        <f t="shared" ca="1" si="3"/>
        <v>124.33723938124062</v>
      </c>
      <c r="L45" s="2">
        <f t="shared" ca="1" si="4"/>
        <v>1</v>
      </c>
      <c r="M45">
        <f t="shared" ca="1" si="6"/>
        <v>1</v>
      </c>
      <c r="N45" s="120">
        <f t="shared" ca="1" si="7"/>
        <v>123.15760068061847</v>
      </c>
      <c r="O45" s="120">
        <f t="shared" ca="1" si="8"/>
        <v>123.15760068061847</v>
      </c>
      <c r="P45">
        <f t="shared" ca="1" si="5"/>
        <v>1</v>
      </c>
      <c r="Q45" s="120">
        <f t="shared" ca="1" si="9"/>
        <v>123.9240819946706</v>
      </c>
      <c r="R45" s="120">
        <f t="shared" ca="1" si="10"/>
        <v>123.9240819946706</v>
      </c>
    </row>
    <row r="46" spans="1:28" x14ac:dyDescent="0.2">
      <c r="A46" s="121">
        <f>Data!AN17</f>
        <v>45078</v>
      </c>
      <c r="B46" s="41">
        <f>Data!AO17</f>
        <v>38909</v>
      </c>
      <c r="C46" s="123">
        <f ca="1">Final!$X20</f>
        <v>4923140</v>
      </c>
      <c r="D46" s="41">
        <f>Data!$BM17</f>
        <v>4804281.4399999911</v>
      </c>
      <c r="E46" s="41">
        <f t="shared" ca="1" si="2"/>
        <v>118858.5600000089</v>
      </c>
      <c r="F46" s="73">
        <f t="shared" ca="1" si="0"/>
        <v>126.52959469531471</v>
      </c>
      <c r="G46" s="73">
        <f t="shared" ca="1" si="1"/>
        <v>3.0547832121105376</v>
      </c>
      <c r="H46" s="15"/>
      <c r="I46" s="15">
        <f>VLOOKUP($A46,PMPM!$A$81:$C$104,3)</f>
        <v>1</v>
      </c>
      <c r="J46" s="73">
        <f t="shared" ca="1" si="3"/>
        <v>126.52959469531471</v>
      </c>
      <c r="L46" s="2">
        <f t="shared" ca="1" si="4"/>
        <v>1</v>
      </c>
      <c r="M46">
        <f t="shared" ca="1" si="6"/>
        <v>1</v>
      </c>
      <c r="N46" s="120">
        <f t="shared" ca="1" si="7"/>
        <v>124.63249091512523</v>
      </c>
      <c r="O46" s="120">
        <f t="shared" ca="1" si="8"/>
        <v>124.63249091512523</v>
      </c>
      <c r="P46">
        <f t="shared" ca="1" si="5"/>
        <v>1</v>
      </c>
      <c r="Q46" s="120">
        <f t="shared" ca="1" si="9"/>
        <v>126.67694316641909</v>
      </c>
      <c r="R46" s="120">
        <f t="shared" ca="1" si="10"/>
        <v>126.67694316641909</v>
      </c>
    </row>
    <row r="47" spans="1:28" x14ac:dyDescent="0.2">
      <c r="A47" s="121">
        <f>Data!AN16</f>
        <v>45108</v>
      </c>
      <c r="B47" s="41">
        <f>Data!AO16</f>
        <v>39003</v>
      </c>
      <c r="C47" s="122">
        <f ca="1">Final!$X19</f>
        <v>4798564</v>
      </c>
      <c r="D47" s="41">
        <f>Data!$BM16</f>
        <v>4661068.5199999847</v>
      </c>
      <c r="E47" s="41">
        <f t="shared" ca="1" si="2"/>
        <v>137495.48000001535</v>
      </c>
      <c r="F47" s="73">
        <f t="shared" ca="1" si="0"/>
        <v>123.03063866882034</v>
      </c>
      <c r="G47" s="73">
        <f t="shared" ca="1" si="1"/>
        <v>3.5252539548243815</v>
      </c>
      <c r="H47" s="15"/>
      <c r="I47" s="15">
        <f>VLOOKUP($A47,PMPM!$A$81:$C$104,3)</f>
        <v>1</v>
      </c>
      <c r="J47" s="73">
        <f t="shared" ca="1" si="3"/>
        <v>123.03063866882034</v>
      </c>
      <c r="L47" s="2">
        <f t="shared" ca="1" si="4"/>
        <v>1</v>
      </c>
      <c r="M47">
        <f t="shared" ca="1" si="6"/>
        <v>1</v>
      </c>
      <c r="N47" s="120">
        <f t="shared" ca="1" si="7"/>
        <v>127.85148797899774</v>
      </c>
      <c r="O47" s="120">
        <f t="shared" ca="1" si="8"/>
        <v>127.85148797899774</v>
      </c>
      <c r="P47">
        <f t="shared" ca="1" si="5"/>
        <v>1</v>
      </c>
      <c r="Q47" s="120">
        <f t="shared" ca="1" si="9"/>
        <v>125.96616974760786</v>
      </c>
      <c r="R47" s="120">
        <f t="shared" ca="1" si="10"/>
        <v>125.96616974760786</v>
      </c>
    </row>
    <row r="48" spans="1:28" x14ac:dyDescent="0.2">
      <c r="A48" s="121">
        <f>Data!AN15</f>
        <v>45139</v>
      </c>
      <c r="B48" s="41">
        <f>Data!AO15</f>
        <v>39172</v>
      </c>
      <c r="C48" s="122">
        <f ca="1">Final!$X18</f>
        <v>5248822</v>
      </c>
      <c r="D48" s="41">
        <f>Data!$BM15</f>
        <v>5070741.000000014</v>
      </c>
      <c r="E48" s="41">
        <f t="shared" ca="1" si="2"/>
        <v>178080.99999998603</v>
      </c>
      <c r="F48" s="73">
        <f t="shared" ca="1" si="0"/>
        <v>133.99423057285816</v>
      </c>
      <c r="G48" s="73">
        <f t="shared" ca="1" si="1"/>
        <v>4.5461298886956509</v>
      </c>
      <c r="H48" s="15"/>
      <c r="I48" s="15">
        <f>VLOOKUP($A48,PMPM!$A$81:$C$104,3)</f>
        <v>1</v>
      </c>
      <c r="J48" s="73">
        <f t="shared" ca="1" si="3"/>
        <v>133.99423057285816</v>
      </c>
      <c r="L48" s="2">
        <f t="shared" ca="1" si="4"/>
        <v>1</v>
      </c>
      <c r="M48">
        <f t="shared" ca="1" si="6"/>
        <v>1</v>
      </c>
      <c r="N48" s="120">
        <f t="shared" ca="1" si="7"/>
        <v>128.77473881459727</v>
      </c>
      <c r="O48" s="120">
        <f t="shared" ca="1" si="8"/>
        <v>128.77473881459727</v>
      </c>
      <c r="P48">
        <f t="shared" ca="1" si="5"/>
        <v>1</v>
      </c>
      <c r="Q48" s="120">
        <f t="shared" ca="1" si="9"/>
        <v>131.05151867310096</v>
      </c>
      <c r="R48" s="120">
        <f t="shared" ca="1" si="10"/>
        <v>131.05151867310096</v>
      </c>
    </row>
    <row r="49" spans="1:18" x14ac:dyDescent="0.2">
      <c r="A49" s="121">
        <f>Data!AN14</f>
        <v>45170</v>
      </c>
      <c r="B49" s="41">
        <f>Data!AO14</f>
        <v>39369</v>
      </c>
      <c r="C49" s="122">
        <f ca="1">Final!$X17</f>
        <v>5090386</v>
      </c>
      <c r="D49" s="41">
        <f>Data!$BM14</f>
        <v>4885085.5199999968</v>
      </c>
      <c r="E49" s="41">
        <f t="shared" ca="1" si="2"/>
        <v>205300.48000000324</v>
      </c>
      <c r="F49" s="73">
        <f t="shared" ca="1" si="0"/>
        <v>129.29934720211332</v>
      </c>
      <c r="G49" s="73">
        <f t="shared" ca="1" si="1"/>
        <v>5.2147750768371877</v>
      </c>
      <c r="H49" s="15"/>
      <c r="I49" s="15">
        <f>VLOOKUP($A49,PMPM!$A$81:$C$104,3)</f>
        <v>1</v>
      </c>
      <c r="J49" s="73">
        <f t="shared" ca="1" si="3"/>
        <v>129.29934720211332</v>
      </c>
      <c r="L49" s="2">
        <f t="shared" ca="1" si="4"/>
        <v>1</v>
      </c>
      <c r="M49">
        <f t="shared" ca="1" si="6"/>
        <v>1</v>
      </c>
      <c r="N49" s="120">
        <f t="shared" ca="1" si="7"/>
        <v>137.47054643107666</v>
      </c>
      <c r="O49" s="120">
        <f t="shared" ca="1" si="8"/>
        <v>137.47054643107666</v>
      </c>
      <c r="P49">
        <f t="shared" ca="1" si="5"/>
        <v>1</v>
      </c>
      <c r="Q49" s="120">
        <f t="shared" ca="1" si="9"/>
        <v>134.25441945718367</v>
      </c>
      <c r="R49" s="120">
        <f t="shared" ca="1" si="10"/>
        <v>134.25441945718367</v>
      </c>
    </row>
    <row r="50" spans="1:18" x14ac:dyDescent="0.2">
      <c r="A50" s="121">
        <f>Data!AN13</f>
        <v>45200</v>
      </c>
      <c r="B50" s="41">
        <f>Data!AO13</f>
        <v>39598</v>
      </c>
      <c r="C50" s="123">
        <f ca="1">Final!$X16</f>
        <v>5904777</v>
      </c>
      <c r="D50" s="41">
        <f>Data!$BM13</f>
        <v>5628476.9799999958</v>
      </c>
      <c r="E50" s="41">
        <f t="shared" ca="1" si="2"/>
        <v>276300.02000000421</v>
      </c>
      <c r="F50" s="73">
        <f t="shared" ca="1" si="0"/>
        <v>149.11806151825849</v>
      </c>
      <c r="G50" s="73">
        <f t="shared" ca="1" si="1"/>
        <v>6.9776256376585737</v>
      </c>
      <c r="H50" s="15"/>
      <c r="I50" s="15">
        <f>VLOOKUP($A50,PMPM!$A$81:$C$104,3)</f>
        <v>1</v>
      </c>
      <c r="J50" s="73">
        <f t="shared" ca="1" si="3"/>
        <v>149.11806151825849</v>
      </c>
      <c r="L50" s="2">
        <f t="shared" ca="1" si="4"/>
        <v>1</v>
      </c>
      <c r="M50">
        <f t="shared" ca="1" si="6"/>
        <v>1</v>
      </c>
      <c r="N50" s="120">
        <f t="shared" ca="1" si="7"/>
        <v>140.65735093536958</v>
      </c>
      <c r="O50" s="120">
        <f t="shared" ca="1" si="8"/>
        <v>140.65735093536958</v>
      </c>
      <c r="P50">
        <f t="shared" ca="1" si="5"/>
        <v>1</v>
      </c>
      <c r="Q50" s="120">
        <f t="shared" ca="1" si="9"/>
        <v>135.2651104859097</v>
      </c>
      <c r="R50" s="120">
        <f t="shared" ca="1" si="10"/>
        <v>135.2651104859097</v>
      </c>
    </row>
    <row r="51" spans="1:18" x14ac:dyDescent="0.2">
      <c r="A51" s="121">
        <f>Data!AN12</f>
        <v>45231</v>
      </c>
      <c r="B51" s="41">
        <f>Data!AO12</f>
        <v>37790</v>
      </c>
      <c r="C51" s="123">
        <f ca="1">Final!$X15</f>
        <v>5424930</v>
      </c>
      <c r="D51" s="41">
        <f>Data!$BM12</f>
        <v>5132941.4099999983</v>
      </c>
      <c r="E51" s="41">
        <f t="shared" ca="1" si="2"/>
        <v>291988.59000000171</v>
      </c>
      <c r="F51" s="73">
        <f t="shared" ca="1" si="0"/>
        <v>143.55464408573698</v>
      </c>
      <c r="G51" s="73">
        <f t="shared" ca="1" si="1"/>
        <v>7.7266099497221941</v>
      </c>
      <c r="H51" s="15"/>
      <c r="I51" s="15">
        <f>VLOOKUP($A51,PMPM!$A$81:$C$104,3)</f>
        <v>1</v>
      </c>
      <c r="J51" s="73">
        <f t="shared" ca="1" si="3"/>
        <v>143.55464408573698</v>
      </c>
      <c r="L51" s="2">
        <f t="shared" ca="1" si="4"/>
        <v>1</v>
      </c>
      <c r="M51">
        <f t="shared" ca="1" si="6"/>
        <v>1</v>
      </c>
      <c r="N51" s="120">
        <f t="shared" ca="1" si="7"/>
        <v>141.75548215722213</v>
      </c>
      <c r="O51" s="120">
        <f t="shared" ca="1" si="8"/>
        <v>141.75548215722213</v>
      </c>
      <c r="P51">
        <f t="shared" ca="1" si="5"/>
        <v>1</v>
      </c>
      <c r="Q51" s="120">
        <f t="shared" ca="1" si="9"/>
        <v>135.92826484381277</v>
      </c>
      <c r="R51" s="120">
        <f t="shared" ca="1" si="10"/>
        <v>135.92826484381277</v>
      </c>
    </row>
    <row r="52" spans="1:18" x14ac:dyDescent="0.2">
      <c r="A52" s="121">
        <f>Data!AN11</f>
        <v>45261</v>
      </c>
      <c r="B52" s="41">
        <f>Data!AO11</f>
        <v>37641</v>
      </c>
      <c r="C52" s="123">
        <f ca="1">Final!$X14</f>
        <v>4990961</v>
      </c>
      <c r="D52" s="41">
        <f>Data!$BM11</f>
        <v>4612761.2399999928</v>
      </c>
      <c r="E52" s="41">
        <f t="shared" ca="1" si="2"/>
        <v>378199.76000000723</v>
      </c>
      <c r="F52" s="73">
        <f t="shared" ca="1" si="0"/>
        <v>132.5937408676709</v>
      </c>
      <c r="G52" s="73">
        <f t="shared" ca="1" si="1"/>
        <v>10.04754815228095</v>
      </c>
      <c r="H52" s="15"/>
      <c r="I52" s="15">
        <f>VLOOKUP($A52,PMPM!$A$81:$C$104,3)</f>
        <v>1</v>
      </c>
      <c r="J52" s="73">
        <f t="shared" ca="1" si="3"/>
        <v>132.5937408676709</v>
      </c>
      <c r="L52" s="2">
        <f t="shared" ca="1" si="4"/>
        <v>1</v>
      </c>
      <c r="M52">
        <f t="shared" ca="1" si="6"/>
        <v>1</v>
      </c>
      <c r="N52" s="120">
        <f t="shared" ca="1" si="7"/>
        <v>134.38598325654885</v>
      </c>
      <c r="O52" s="120">
        <f t="shared" ca="1" si="8"/>
        <v>134.38598325654885</v>
      </c>
      <c r="P52">
        <f t="shared" ca="1" si="5"/>
        <v>1</v>
      </c>
      <c r="Q52" s="120">
        <f t="shared" ca="1" si="9"/>
        <v>133.55976352215552</v>
      </c>
      <c r="R52" s="120">
        <f t="shared" ca="1" si="10"/>
        <v>133.55976352215552</v>
      </c>
    </row>
    <row r="53" spans="1:18" x14ac:dyDescent="0.2">
      <c r="A53" s="121">
        <f>Data!AN10</f>
        <v>45292</v>
      </c>
      <c r="B53" s="41">
        <f>Data!AO10</f>
        <v>32515</v>
      </c>
      <c r="C53" s="122">
        <f ca="1">Final!$X13</f>
        <v>4129716</v>
      </c>
      <c r="D53" s="41">
        <f>Data!$BM10</f>
        <v>3478675.1399999922</v>
      </c>
      <c r="E53" s="41">
        <f t="shared" ca="1" si="2"/>
        <v>651040.86000000779</v>
      </c>
      <c r="F53" s="73">
        <f t="shared" ca="1" si="0"/>
        <v>127.00956481623867</v>
      </c>
      <c r="G53" s="73">
        <f t="shared" ca="1" si="1"/>
        <v>20.022785176072823</v>
      </c>
      <c r="H53" s="15"/>
      <c r="I53" s="15">
        <f>VLOOKUP($A53,PMPM!$A$81:$C$104,3)</f>
        <v>1</v>
      </c>
      <c r="J53" s="73">
        <f t="shared" ca="1" si="3"/>
        <v>127.00956481623867</v>
      </c>
      <c r="L53" s="2">
        <f t="shared" ca="1" si="4"/>
        <v>1</v>
      </c>
      <c r="M53">
        <f t="shared" ca="1" si="6"/>
        <v>1</v>
      </c>
      <c r="N53" s="120">
        <f t="shared" ca="1" si="7"/>
        <v>126.46217610894145</v>
      </c>
      <c r="O53" s="120">
        <f t="shared" ca="1" si="8"/>
        <v>126.46217610894145</v>
      </c>
      <c r="P53">
        <f t="shared" ca="1" si="5"/>
        <v>1</v>
      </c>
      <c r="Q53" s="120">
        <f t="shared" ca="1" si="9"/>
        <v>135.30653888416967</v>
      </c>
      <c r="R53" s="120">
        <f t="shared" ca="1" si="10"/>
        <v>135.30653888416967</v>
      </c>
    </row>
    <row r="54" spans="1:18" x14ac:dyDescent="0.2">
      <c r="A54" s="121">
        <f>Data!AN9</f>
        <v>45323</v>
      </c>
      <c r="B54" s="41">
        <f>Data!AO9</f>
        <v>32222</v>
      </c>
      <c r="C54" s="122">
        <f ca="1">Final!$X12</f>
        <v>3859655</v>
      </c>
      <c r="D54" s="41">
        <f>Data!$BM9</f>
        <v>1819598.1699999985</v>
      </c>
      <c r="E54" s="41">
        <f t="shared" ca="1" si="2"/>
        <v>2040056.8300000015</v>
      </c>
      <c r="F54" s="73">
        <f t="shared" ca="1" si="0"/>
        <v>119.78322264291478</v>
      </c>
      <c r="G54" s="73">
        <f t="shared" ca="1" si="1"/>
        <v>63.312545155483875</v>
      </c>
      <c r="H54" s="15"/>
      <c r="I54" s="15">
        <f>VLOOKUP($A54,PMPM!$A$81:$C$104,3)</f>
        <v>1</v>
      </c>
      <c r="J54" s="73">
        <f t="shared" ca="1" si="3"/>
        <v>119.78322264291478</v>
      </c>
      <c r="L54" s="2">
        <f t="shared" ca="1" si="4"/>
        <v>1</v>
      </c>
      <c r="M54">
        <f t="shared" ca="1" si="6"/>
        <v>1</v>
      </c>
      <c r="N54" s="120">
        <f t="shared" ca="1" si="7"/>
        <v>128.8575956111172</v>
      </c>
      <c r="O54" s="120">
        <f t="shared" ca="1" si="8"/>
        <v>128.8575956111172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31959</v>
      </c>
      <c r="C55" s="122">
        <f ca="1">Final!$X11</f>
        <v>4467229</v>
      </c>
      <c r="D55" s="41">
        <f>Data!$BM8</f>
        <v>571271.51999999979</v>
      </c>
      <c r="E55" s="41">
        <f t="shared" ca="1" si="2"/>
        <v>3895957.4800000004</v>
      </c>
      <c r="F55" s="73">
        <f ca="1">IF(B55=0,0,+C55/B55)</f>
        <v>139.77999937419818</v>
      </c>
      <c r="G55" s="73">
        <f ca="1">IF(B55=0,0,+E55/B55)</f>
        <v>121.90486185425077</v>
      </c>
      <c r="H55" s="15"/>
      <c r="I55" s="15">
        <f>VLOOKUP($A55,PMPM!$A$81:$C$104,3)</f>
        <v>1</v>
      </c>
      <c r="J55" s="73">
        <f t="shared" ca="1" si="3"/>
        <v>139.77999937419818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Allied Pacific (APC Medicare)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8.6949527675509897E-2</v>
      </c>
      <c r="M114" s="278">
        <f ca="1">Charts!O45</f>
        <v>8.6949527675509897E-2</v>
      </c>
      <c r="O114" s="7" t="s">
        <v>616</v>
      </c>
      <c r="P114" s="147">
        <f ca="1">Trends!G30</f>
        <v>7.9813530917986666E-2</v>
      </c>
      <c r="Q114" s="147">
        <f ca="1">Trends!Y30</f>
        <v>7.9813530917986666E-2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9.2521588259768306E-2</v>
      </c>
      <c r="M115" s="279">
        <f ca="1">Charts!O46</f>
        <v>9.2521588259768306E-2</v>
      </c>
      <c r="O115" s="10" t="s">
        <v>617</v>
      </c>
      <c r="P115" s="148">
        <f ca="1">Trends!F30</f>
        <v>8.2831542911189326E-2</v>
      </c>
      <c r="Q115" s="148">
        <f ca="1">Trends!X30</f>
        <v>8.2831542911189326E-2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8.7460148329946197E-2</v>
      </c>
      <c r="M116" s="279">
        <f ca="1">Charts!O47</f>
        <v>8.7460148329946197E-2</v>
      </c>
      <c r="O116" s="10" t="s">
        <v>234</v>
      </c>
      <c r="P116" s="148">
        <f ca="1">Trends!E30</f>
        <v>8.5005786115892754E-2</v>
      </c>
      <c r="Q116" s="148">
        <f ca="1">Trends!W30</f>
        <v>8.5005786115892754E-2</v>
      </c>
    </row>
    <row r="117" spans="1:17" ht="15.75" x14ac:dyDescent="0.25">
      <c r="A117" s="303" t="str">
        <f>Data!$C$1</f>
        <v>Allied Pacific (APC Medicare)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8.6949527675509897E-2</v>
      </c>
      <c r="M168" s="278">
        <f t="shared" ca="1" si="11"/>
        <v>8.6949527675509897E-2</v>
      </c>
      <c r="O168" s="7" t="str">
        <f t="shared" si="11"/>
        <v>12 Mo</v>
      </c>
      <c r="P168" s="147">
        <f t="shared" ca="1" si="11"/>
        <v>7.9813530917986666E-2</v>
      </c>
      <c r="Q168" s="147">
        <f t="shared" ca="1" si="11"/>
        <v>7.9813530917986666E-2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9.2521588259768306E-2</v>
      </c>
      <c r="M169" s="279">
        <f t="shared" ca="1" si="11"/>
        <v>9.2521588259768306E-2</v>
      </c>
      <c r="O169" s="10" t="str">
        <f t="shared" si="11"/>
        <v>6 Mo</v>
      </c>
      <c r="P169" s="148">
        <f t="shared" ca="1" si="11"/>
        <v>8.2831542911189326E-2</v>
      </c>
      <c r="Q169" s="148">
        <f t="shared" ca="1" si="11"/>
        <v>8.2831542911189326E-2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8.7460148329946197E-2</v>
      </c>
      <c r="M170" s="279">
        <f t="shared" ca="1" si="11"/>
        <v>8.7460148329946197E-2</v>
      </c>
      <c r="O170" s="10" t="str">
        <f t="shared" si="11"/>
        <v>3 Mo</v>
      </c>
      <c r="P170" s="148">
        <f t="shared" ca="1" si="11"/>
        <v>8.5005786115892754E-2</v>
      </c>
      <c r="Q170" s="148">
        <f t="shared" ca="1" si="11"/>
        <v>8.5005786115892754E-2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1004526.7600000019</v>
      </c>
      <c r="D13" s="176">
        <f>Data!D149</f>
        <v>482211.5600000007</v>
      </c>
      <c r="E13" s="176">
        <f>Data!E149</f>
        <v>241497.67</v>
      </c>
      <c r="F13" s="176">
        <f>Data!F149</f>
        <v>298703.77000000031</v>
      </c>
      <c r="G13" s="176">
        <f>Data!G149</f>
        <v>698076.46000000043</v>
      </c>
      <c r="H13" s="176">
        <f>Data!H149</f>
        <v>1026866.4800000011</v>
      </c>
      <c r="I13" s="176">
        <f>Data!I149</f>
        <v>761446.51000000152</v>
      </c>
      <c r="J13" s="176">
        <f>Data!J149</f>
        <v>633432.7000000017</v>
      </c>
      <c r="K13" s="176">
        <f>Data!K149</f>
        <v>584954.71000000113</v>
      </c>
      <c r="L13" s="176">
        <f>Data!L149</f>
        <v>158790.01000000007</v>
      </c>
      <c r="M13" s="176">
        <f>Data!M149</f>
        <v>659023.53000000049</v>
      </c>
      <c r="N13" s="176">
        <f>Data!N149</f>
        <v>531228.49999999884</v>
      </c>
      <c r="O13" s="176">
        <f>Data!O149</f>
        <v>626580.95000000135</v>
      </c>
      <c r="P13" s="176">
        <f>Data!P149</f>
        <v>798211.74000000185</v>
      </c>
      <c r="Q13" s="176">
        <f>Data!Q149</f>
        <v>800445.93000000168</v>
      </c>
      <c r="R13" s="176">
        <f>Data!R149</f>
        <v>672374.03000000061</v>
      </c>
      <c r="S13" s="176">
        <f>Data!S149</f>
        <v>1373123.0700000084</v>
      </c>
      <c r="T13" s="176">
        <f>Data!T149</f>
        <v>1141760.6800000041</v>
      </c>
      <c r="U13" s="176">
        <f>Data!U149</f>
        <v>1219165.3500000034</v>
      </c>
      <c r="V13" s="176">
        <f>Data!V149</f>
        <v>1162636.3100000024</v>
      </c>
      <c r="W13" s="176">
        <f>Data!W149</f>
        <v>1142800.2500000079</v>
      </c>
      <c r="X13" s="176">
        <f>Data!X149</f>
        <v>997159.99999999884</v>
      </c>
      <c r="Y13" s="176">
        <f>Data!Y149</f>
        <v>920338.80000000563</v>
      </c>
      <c r="Z13" s="176">
        <f>Data!Z149</f>
        <v>1300877.1699999955</v>
      </c>
      <c r="AA13" s="176">
        <f>Data!AA149</f>
        <v>644189.63000000187</v>
      </c>
      <c r="AB13" s="176">
        <f>Data!AB149</f>
        <v>788344.64000000048</v>
      </c>
      <c r="AC13" s="176">
        <f>Data!AC149</f>
        <v>975607.42000000051</v>
      </c>
      <c r="AD13" s="176">
        <f>Data!AD149</f>
        <v>801693.41999999993</v>
      </c>
      <c r="AE13" s="176">
        <f>Data!AE149</f>
        <v>854406.51000000024</v>
      </c>
      <c r="AF13" s="176">
        <f>Data!AF149</f>
        <v>671365.21000000031</v>
      </c>
      <c r="AG13" s="176">
        <f>Data!AG149</f>
        <v>1311137.7499999909</v>
      </c>
      <c r="AH13" s="176">
        <f>Data!AH149</f>
        <v>915291.40999999852</v>
      </c>
      <c r="AI13" s="176">
        <f>Data!AI149</f>
        <v>1015613.4899999979</v>
      </c>
      <c r="AJ13" s="176">
        <f>Data!AJ149</f>
        <v>885592.62000000034</v>
      </c>
      <c r="AK13" s="176">
        <f>Data!AK149</f>
        <v>390415.41999999981</v>
      </c>
      <c r="AL13" s="176">
        <f>Data!AL149</f>
        <v>571271.51999999979</v>
      </c>
    </row>
    <row r="14" spans="1:38" x14ac:dyDescent="0.2">
      <c r="A14" s="7" t="s">
        <v>18</v>
      </c>
      <c r="B14" s="7"/>
      <c r="C14" s="176">
        <f>Data!C150</f>
        <v>2001520.1500000039</v>
      </c>
      <c r="D14" s="176">
        <f>Data!D150</f>
        <v>1581284.5300000017</v>
      </c>
      <c r="E14" s="176">
        <f>Data!E150</f>
        <v>2015079.7499999979</v>
      </c>
      <c r="F14" s="176">
        <f>Data!F150</f>
        <v>2147974.6599999983</v>
      </c>
      <c r="G14" s="176">
        <f>Data!G150</f>
        <v>2677885.7999999942</v>
      </c>
      <c r="H14" s="176">
        <f>Data!H150</f>
        <v>2486251.3999999976</v>
      </c>
      <c r="I14" s="176">
        <f>Data!I150</f>
        <v>2499647.6399999987</v>
      </c>
      <c r="J14" s="176">
        <f>Data!J150</f>
        <v>2416867.3299999973</v>
      </c>
      <c r="K14" s="176">
        <f>Data!K150</f>
        <v>1750610.7300000021</v>
      </c>
      <c r="L14" s="176">
        <f>Data!L150</f>
        <v>2088228.8200000038</v>
      </c>
      <c r="M14" s="176">
        <f>Data!M150</f>
        <v>2084415.3000000054</v>
      </c>
      <c r="N14" s="176">
        <f>Data!N150</f>
        <v>2436113.8000000017</v>
      </c>
      <c r="O14" s="176">
        <f>Data!O150</f>
        <v>2400300.9700000072</v>
      </c>
      <c r="P14" s="176">
        <f>Data!P150</f>
        <v>2614379.8700000076</v>
      </c>
      <c r="Q14" s="176">
        <f>Data!Q150</f>
        <v>2604857.1200000076</v>
      </c>
      <c r="R14" s="176">
        <f>Data!R150</f>
        <v>3079349.2900000075</v>
      </c>
      <c r="S14" s="176">
        <f>Data!S150</f>
        <v>3410672.1400000136</v>
      </c>
      <c r="T14" s="176">
        <f>Data!T150</f>
        <v>3096145.7500000112</v>
      </c>
      <c r="U14" s="176">
        <f>Data!U150</f>
        <v>3219226.0900000054</v>
      </c>
      <c r="V14" s="176">
        <f>Data!V150</f>
        <v>3153014.5800000122</v>
      </c>
      <c r="W14" s="176">
        <f>Data!W150</f>
        <v>3326589.5600000112</v>
      </c>
      <c r="X14" s="176">
        <f>Data!X150</f>
        <v>2853539.4999999916</v>
      </c>
      <c r="Y14" s="176">
        <f>Data!Y150</f>
        <v>3246768.899999992</v>
      </c>
      <c r="Z14" s="176">
        <f>Data!Z150</f>
        <v>3499255.3099999912</v>
      </c>
      <c r="AA14" s="176">
        <f>Data!AA150</f>
        <v>3080145.620000001</v>
      </c>
      <c r="AB14" s="176">
        <f>Data!AB150</f>
        <v>3267432.7799999993</v>
      </c>
      <c r="AC14" s="176">
        <f>Data!AC150</f>
        <v>3283104.6199999927</v>
      </c>
      <c r="AD14" s="176">
        <f>Data!AD150</f>
        <v>3117275.1799999853</v>
      </c>
      <c r="AE14" s="176">
        <f>Data!AE150</f>
        <v>3562743.8200000138</v>
      </c>
      <c r="AF14" s="176">
        <f>Data!AF150</f>
        <v>3386912.8999999962</v>
      </c>
      <c r="AG14" s="176">
        <f>Data!AG150</f>
        <v>3964700.3699999955</v>
      </c>
      <c r="AH14" s="176">
        <f>Data!AH150</f>
        <v>3443310.95</v>
      </c>
      <c r="AI14" s="176">
        <f>Data!AI150</f>
        <v>3375382.2599999928</v>
      </c>
      <c r="AJ14" s="176">
        <f>Data!AJ150</f>
        <v>2281796.1499999943</v>
      </c>
      <c r="AK14" s="176">
        <f>Data!AK150</f>
        <v>1819598.1699999985</v>
      </c>
      <c r="AL14" s="176">
        <f>Data!AL150</f>
        <v>571271.51999999979</v>
      </c>
    </row>
    <row r="15" spans="1:38" x14ac:dyDescent="0.2">
      <c r="A15" s="7" t="s">
        <v>19</v>
      </c>
      <c r="B15" s="7"/>
      <c r="C15" s="176">
        <f>Data!C151</f>
        <v>2383249.0800000043</v>
      </c>
      <c r="D15" s="176">
        <f>Data!D151</f>
        <v>2333414.3800000018</v>
      </c>
      <c r="E15" s="176">
        <f>Data!E151</f>
        <v>2523413.549999998</v>
      </c>
      <c r="F15" s="176">
        <f>Data!F151</f>
        <v>2989728.1999999983</v>
      </c>
      <c r="G15" s="176">
        <f>Data!G151</f>
        <v>3040103.1799999946</v>
      </c>
      <c r="H15" s="176">
        <f>Data!H151</f>
        <v>3119144.9499999969</v>
      </c>
      <c r="I15" s="176">
        <f>Data!I151</f>
        <v>3230672.9099999974</v>
      </c>
      <c r="J15" s="176">
        <f>Data!J151</f>
        <v>3006086.569999998</v>
      </c>
      <c r="K15" s="176">
        <f>Data!K151</f>
        <v>2986557.1300000008</v>
      </c>
      <c r="L15" s="176">
        <f>Data!L151</f>
        <v>2689268.3000000045</v>
      </c>
      <c r="M15" s="176">
        <f>Data!M151</f>
        <v>2725975.9500000058</v>
      </c>
      <c r="N15" s="176">
        <f>Data!N151</f>
        <v>3391294.9200000023</v>
      </c>
      <c r="O15" s="176">
        <f>Data!O151</f>
        <v>3236069.8600000083</v>
      </c>
      <c r="P15" s="176">
        <f>Data!P151</f>
        <v>3501951.4600000079</v>
      </c>
      <c r="Q15" s="176">
        <f>Data!Q151</f>
        <v>3808507.3100000089</v>
      </c>
      <c r="R15" s="176">
        <f>Data!R151</f>
        <v>3604189.8700000066</v>
      </c>
      <c r="S15" s="176">
        <f>Data!S151</f>
        <v>4069670.3900000136</v>
      </c>
      <c r="T15" s="176">
        <f>Data!T151</f>
        <v>3972930.840000011</v>
      </c>
      <c r="U15" s="176">
        <f>Data!U151</f>
        <v>4064511.8400000054</v>
      </c>
      <c r="V15" s="176">
        <f>Data!V151</f>
        <v>3874856.6600000123</v>
      </c>
      <c r="W15" s="176">
        <f>Data!W151</f>
        <v>3864543.4500000109</v>
      </c>
      <c r="X15" s="176">
        <f>Data!X151</f>
        <v>3688060.5399999917</v>
      </c>
      <c r="Y15" s="176">
        <f>Data!Y151</f>
        <v>3931569.2499999916</v>
      </c>
      <c r="Z15" s="176">
        <f>Data!Z151</f>
        <v>4454067.4899999881</v>
      </c>
      <c r="AA15" s="176">
        <f>Data!AA151</f>
        <v>3970909.7999999993</v>
      </c>
      <c r="AB15" s="176">
        <f>Data!AB151</f>
        <v>4145243.5499999989</v>
      </c>
      <c r="AC15" s="176">
        <f>Data!AC151</f>
        <v>4234106.8299999898</v>
      </c>
      <c r="AD15" s="176">
        <f>Data!AD151</f>
        <v>4104193.2399999839</v>
      </c>
      <c r="AE15" s="176">
        <f>Data!AE151</f>
        <v>4566111.0500000138</v>
      </c>
      <c r="AF15" s="176">
        <f>Data!AF151</f>
        <v>4352002.3599999966</v>
      </c>
      <c r="AG15" s="176">
        <f>Data!AG151</f>
        <v>5050542.6499999957</v>
      </c>
      <c r="AH15" s="176">
        <f>Data!AH151</f>
        <v>4721329.0199999977</v>
      </c>
      <c r="AI15" s="176">
        <f>Data!AI151</f>
        <v>4305763.1199999927</v>
      </c>
      <c r="AJ15" s="176">
        <f>Data!AJ151</f>
        <v>3478675.1399999922</v>
      </c>
      <c r="AK15" s="176">
        <f>Data!AK151</f>
        <v>1819598.1699999985</v>
      </c>
      <c r="AL15" s="176">
        <f>Data!AL151</f>
        <v>571271.51999999979</v>
      </c>
    </row>
    <row r="16" spans="1:38" x14ac:dyDescent="0.2">
      <c r="A16" s="7" t="s">
        <v>20</v>
      </c>
      <c r="B16" s="7"/>
      <c r="C16" s="176">
        <f>Data!C152</f>
        <v>2718031.8900000043</v>
      </c>
      <c r="D16" s="176">
        <f>Data!D152</f>
        <v>2631486.7500000014</v>
      </c>
      <c r="E16" s="176">
        <f>Data!E152</f>
        <v>3058507.4799999977</v>
      </c>
      <c r="F16" s="176">
        <f>Data!F152</f>
        <v>3129999.5199999982</v>
      </c>
      <c r="G16" s="176">
        <f>Data!G152</f>
        <v>3331542.2499999949</v>
      </c>
      <c r="H16" s="176">
        <f>Data!H152</f>
        <v>3421097.0599999973</v>
      </c>
      <c r="I16" s="176">
        <f>Data!I152</f>
        <v>3680615.9999999977</v>
      </c>
      <c r="J16" s="176">
        <f>Data!J152</f>
        <v>3552370.5299999975</v>
      </c>
      <c r="K16" s="176">
        <f>Data!K152</f>
        <v>3383336.6600000011</v>
      </c>
      <c r="L16" s="176">
        <f>Data!L152</f>
        <v>3031749.6200000043</v>
      </c>
      <c r="M16" s="176">
        <f>Data!M152</f>
        <v>3096682.4400000055</v>
      </c>
      <c r="N16" s="176">
        <f>Data!N152</f>
        <v>3912106.2100000018</v>
      </c>
      <c r="O16" s="176">
        <f>Data!O152</f>
        <v>3657025.7000000076</v>
      </c>
      <c r="P16" s="176">
        <f>Data!P152</f>
        <v>3836541.5900000073</v>
      </c>
      <c r="Q16" s="176">
        <f>Data!Q152</f>
        <v>3945605.0600000089</v>
      </c>
      <c r="R16" s="176">
        <f>Data!R152</f>
        <v>3767653.000000007</v>
      </c>
      <c r="S16" s="176">
        <f>Data!S152</f>
        <v>4270988.2000000132</v>
      </c>
      <c r="T16" s="176">
        <f>Data!T152</f>
        <v>4198327.4100000113</v>
      </c>
      <c r="U16" s="176">
        <f>Data!U152</f>
        <v>4331199.980000006</v>
      </c>
      <c r="V16" s="176">
        <f>Data!V152</f>
        <v>4075542.6600000123</v>
      </c>
      <c r="W16" s="176">
        <f>Data!W152</f>
        <v>4135011.1100000106</v>
      </c>
      <c r="X16" s="176">
        <f>Data!X152</f>
        <v>3975820.7899999917</v>
      </c>
      <c r="Y16" s="176">
        <f>Data!Y152</f>
        <v>4144045.2499999916</v>
      </c>
      <c r="Z16" s="176">
        <f>Data!Z152</f>
        <v>4717349.1799999885</v>
      </c>
      <c r="AA16" s="176">
        <f>Data!AA152</f>
        <v>4206376.9899999993</v>
      </c>
      <c r="AB16" s="176">
        <f>Data!AB152</f>
        <v>4410608.2199999988</v>
      </c>
      <c r="AC16" s="176">
        <f>Data!AC152</f>
        <v>4522089.4999999898</v>
      </c>
      <c r="AD16" s="176">
        <f>Data!AD152</f>
        <v>4438968.4699999839</v>
      </c>
      <c r="AE16" s="176">
        <f>Data!AE152</f>
        <v>4886870.2400000142</v>
      </c>
      <c r="AF16" s="176">
        <f>Data!AF152</f>
        <v>4708483.8299999973</v>
      </c>
      <c r="AG16" s="176">
        <f>Data!AG152</f>
        <v>5469933.3299999954</v>
      </c>
      <c r="AH16" s="176">
        <f>Data!AH152</f>
        <v>4995994.9299999978</v>
      </c>
      <c r="AI16" s="176">
        <f>Data!AI152</f>
        <v>4612761.2399999928</v>
      </c>
      <c r="AJ16" s="176">
        <f>Data!AJ152</f>
        <v>3478675.1399999922</v>
      </c>
      <c r="AK16" s="176">
        <f>Data!AK152</f>
        <v>1819598.1699999985</v>
      </c>
      <c r="AL16" s="176">
        <f>Data!AL152</f>
        <v>571271.51999999979</v>
      </c>
    </row>
    <row r="17" spans="1:38" x14ac:dyDescent="0.2">
      <c r="A17" s="7" t="s">
        <v>21</v>
      </c>
      <c r="B17" s="7"/>
      <c r="C17" s="176">
        <f>Data!C153</f>
        <v>2851562.4600000042</v>
      </c>
      <c r="D17" s="176">
        <f>Data!D153</f>
        <v>2952782.9700000011</v>
      </c>
      <c r="E17" s="176">
        <f>Data!E153</f>
        <v>3114209.5199999977</v>
      </c>
      <c r="F17" s="176">
        <f>Data!F153</f>
        <v>3322049.9599999986</v>
      </c>
      <c r="G17" s="176">
        <f>Data!G153</f>
        <v>3494639.9399999948</v>
      </c>
      <c r="H17" s="176">
        <f>Data!H153</f>
        <v>3693547.6299999971</v>
      </c>
      <c r="I17" s="176">
        <f>Data!I153</f>
        <v>3856008.4999999977</v>
      </c>
      <c r="J17" s="176">
        <f>Data!J153</f>
        <v>3716597.7399999974</v>
      </c>
      <c r="K17" s="176">
        <f>Data!K153</f>
        <v>3582110.9600000009</v>
      </c>
      <c r="L17" s="176">
        <f>Data!L153</f>
        <v>3174602.6900000041</v>
      </c>
      <c r="M17" s="176">
        <f>Data!M153</f>
        <v>3307038.3000000054</v>
      </c>
      <c r="N17" s="176">
        <f>Data!N153</f>
        <v>4095865.2500000019</v>
      </c>
      <c r="O17" s="176">
        <f>Data!O153</f>
        <v>3762336.5700000077</v>
      </c>
      <c r="P17" s="176">
        <f>Data!P153</f>
        <v>3865812.5900000073</v>
      </c>
      <c r="Q17" s="176">
        <f>Data!Q153</f>
        <v>3973819.7800000091</v>
      </c>
      <c r="R17" s="176">
        <f>Data!R153</f>
        <v>3844518.1700000069</v>
      </c>
      <c r="S17" s="176">
        <f>Data!S153</f>
        <v>4351550.0800000131</v>
      </c>
      <c r="T17" s="176">
        <f>Data!T153</f>
        <v>4266319.5400000112</v>
      </c>
      <c r="U17" s="176">
        <f>Data!U153</f>
        <v>4421658.0900000064</v>
      </c>
      <c r="V17" s="176">
        <f>Data!V153</f>
        <v>4198026.3100000126</v>
      </c>
      <c r="W17" s="176">
        <f>Data!W153</f>
        <v>4211204.800000011</v>
      </c>
      <c r="X17" s="176">
        <f>Data!X153</f>
        <v>4063117.5299999919</v>
      </c>
      <c r="Y17" s="176">
        <f>Data!Y153</f>
        <v>4196281.189999992</v>
      </c>
      <c r="Z17" s="176">
        <f>Data!Z153</f>
        <v>4786372.159999988</v>
      </c>
      <c r="AA17" s="176">
        <f>Data!AA153</f>
        <v>4287206.709999999</v>
      </c>
      <c r="AB17" s="176">
        <f>Data!AB153</f>
        <v>4515601.9299999988</v>
      </c>
      <c r="AC17" s="176">
        <f>Data!AC153</f>
        <v>4639988.5699999901</v>
      </c>
      <c r="AD17" s="176">
        <f>Data!AD153</f>
        <v>4542023.1599999843</v>
      </c>
      <c r="AE17" s="176">
        <f>Data!AE153</f>
        <v>4964988.4300000146</v>
      </c>
      <c r="AF17" s="176">
        <f>Data!AF153</f>
        <v>4837247.6799999969</v>
      </c>
      <c r="AG17" s="176">
        <f>Data!AG153</f>
        <v>5593446.4399999958</v>
      </c>
      <c r="AH17" s="176">
        <f>Data!AH153</f>
        <v>5132941.4099999983</v>
      </c>
      <c r="AI17" s="176">
        <f>Data!AI153</f>
        <v>4612761.2399999928</v>
      </c>
      <c r="AJ17" s="176">
        <f>Data!AJ153</f>
        <v>3478675.1399999922</v>
      </c>
      <c r="AK17" s="176">
        <f>Data!AK153</f>
        <v>1819598.1699999985</v>
      </c>
      <c r="AL17" s="176">
        <f>Data!AL153</f>
        <v>571271.51999999979</v>
      </c>
    </row>
    <row r="18" spans="1:38" x14ac:dyDescent="0.2">
      <c r="A18" s="7" t="s">
        <v>22</v>
      </c>
      <c r="B18" s="7"/>
      <c r="C18" s="176">
        <f>Data!C154</f>
        <v>3049618.1800000044</v>
      </c>
      <c r="D18" s="176">
        <f>Data!D154</f>
        <v>3006188.2400000012</v>
      </c>
      <c r="E18" s="176">
        <f>Data!E154</f>
        <v>3268286.9899999974</v>
      </c>
      <c r="F18" s="176">
        <f>Data!F154</f>
        <v>3436390.1599999988</v>
      </c>
      <c r="G18" s="176">
        <f>Data!G154</f>
        <v>3636575.5099999947</v>
      </c>
      <c r="H18" s="176">
        <f>Data!H154</f>
        <v>3756797.1999999969</v>
      </c>
      <c r="I18" s="176">
        <f>Data!I154</f>
        <v>3914056.2999999975</v>
      </c>
      <c r="J18" s="176">
        <f>Data!J154</f>
        <v>3784321.7699999972</v>
      </c>
      <c r="K18" s="176">
        <f>Data!K154</f>
        <v>3623311.120000001</v>
      </c>
      <c r="L18" s="176">
        <f>Data!L154</f>
        <v>3281017.0600000042</v>
      </c>
      <c r="M18" s="176">
        <f>Data!M154</f>
        <v>3383374.2200000053</v>
      </c>
      <c r="N18" s="176">
        <f>Data!N154</f>
        <v>4131990.0500000017</v>
      </c>
      <c r="O18" s="176">
        <f>Data!O154</f>
        <v>3794433.0700000077</v>
      </c>
      <c r="P18" s="176">
        <f>Data!P154</f>
        <v>3884904.9600000074</v>
      </c>
      <c r="Q18" s="176">
        <f>Data!Q154</f>
        <v>3993007.4900000091</v>
      </c>
      <c r="R18" s="176">
        <f>Data!R154</f>
        <v>3856817.810000007</v>
      </c>
      <c r="S18" s="176">
        <f>Data!S154</f>
        <v>4398903.3600000134</v>
      </c>
      <c r="T18" s="176">
        <f>Data!T154</f>
        <v>4326555.4900000114</v>
      </c>
      <c r="U18" s="176">
        <f>Data!U154</f>
        <v>4462271.0100000063</v>
      </c>
      <c r="V18" s="176">
        <f>Data!V154</f>
        <v>4219351.9800000126</v>
      </c>
      <c r="W18" s="176">
        <f>Data!W154</f>
        <v>4249315.6000000108</v>
      </c>
      <c r="X18" s="176">
        <f>Data!X154</f>
        <v>4099790.5899999919</v>
      </c>
      <c r="Y18" s="176">
        <f>Data!Y154</f>
        <v>4218513.3799999924</v>
      </c>
      <c r="Z18" s="176">
        <f>Data!Z154</f>
        <v>4827358.1299999878</v>
      </c>
      <c r="AA18" s="176">
        <f>Data!AA154</f>
        <v>4318701.6999999993</v>
      </c>
      <c r="AB18" s="176">
        <f>Data!AB154</f>
        <v>4549125.2999999989</v>
      </c>
      <c r="AC18" s="176">
        <f>Data!AC154</f>
        <v>4685246.7899999898</v>
      </c>
      <c r="AD18" s="176">
        <f>Data!AD154</f>
        <v>4568608.0999999847</v>
      </c>
      <c r="AE18" s="176">
        <f>Data!AE154</f>
        <v>5014724.5700000143</v>
      </c>
      <c r="AF18" s="176">
        <f>Data!AF154</f>
        <v>4862858.009999997</v>
      </c>
      <c r="AG18" s="176">
        <f>Data!AG154</f>
        <v>5628476.9799999958</v>
      </c>
      <c r="AH18" s="176">
        <f>Data!AH154</f>
        <v>5132941.4099999983</v>
      </c>
      <c r="AI18" s="176">
        <f>Data!AI154</f>
        <v>4612761.2399999928</v>
      </c>
      <c r="AJ18" s="176">
        <f>Data!AJ154</f>
        <v>3478675.1399999922</v>
      </c>
      <c r="AK18" s="176">
        <f>Data!AK154</f>
        <v>1819598.1699999985</v>
      </c>
      <c r="AL18" s="176">
        <f>Data!AL154</f>
        <v>571271.51999999979</v>
      </c>
    </row>
    <row r="19" spans="1:38" x14ac:dyDescent="0.2">
      <c r="A19" s="7" t="s">
        <v>23</v>
      </c>
      <c r="B19" s="7"/>
      <c r="C19" s="176">
        <f>Data!C155</f>
        <v>3081577.4600000042</v>
      </c>
      <c r="D19" s="176">
        <f>Data!D155</f>
        <v>3081305.2500000009</v>
      </c>
      <c r="E19" s="176">
        <f>Data!E155</f>
        <v>3361658.6099999975</v>
      </c>
      <c r="F19" s="176">
        <f>Data!F155</f>
        <v>3489376.0499999989</v>
      </c>
      <c r="G19" s="176">
        <f>Data!G155</f>
        <v>3674211.9499999946</v>
      </c>
      <c r="H19" s="176">
        <f>Data!H155</f>
        <v>3795755.759999997</v>
      </c>
      <c r="I19" s="176">
        <f>Data!I155</f>
        <v>3939896.5099999974</v>
      </c>
      <c r="J19" s="176">
        <f>Data!J155</f>
        <v>3809905.549999997</v>
      </c>
      <c r="K19" s="176">
        <f>Data!K155</f>
        <v>3654353.370000001</v>
      </c>
      <c r="L19" s="176">
        <f>Data!L155</f>
        <v>3339877.1400000043</v>
      </c>
      <c r="M19" s="176">
        <f>Data!M155</f>
        <v>3414306.2300000051</v>
      </c>
      <c r="N19" s="176">
        <f>Data!N155</f>
        <v>4177641.4100000015</v>
      </c>
      <c r="O19" s="176">
        <f>Data!O155</f>
        <v>3808357.3000000077</v>
      </c>
      <c r="P19" s="176">
        <f>Data!P155</f>
        <v>3902513.2100000074</v>
      </c>
      <c r="Q19" s="176">
        <f>Data!Q155</f>
        <v>4004076.8600000092</v>
      </c>
      <c r="R19" s="176">
        <f>Data!R155</f>
        <v>3871317.1700000069</v>
      </c>
      <c r="S19" s="176">
        <f>Data!S155</f>
        <v>4448148.2300000135</v>
      </c>
      <c r="T19" s="176">
        <f>Data!T155</f>
        <v>4345971.7700000117</v>
      </c>
      <c r="U19" s="176">
        <f>Data!U155</f>
        <v>4501919.7800000058</v>
      </c>
      <c r="V19" s="176">
        <f>Data!V155</f>
        <v>4253649.3600000124</v>
      </c>
      <c r="W19" s="176">
        <f>Data!W155</f>
        <v>4276522.340000011</v>
      </c>
      <c r="X19" s="176">
        <f>Data!X155</f>
        <v>4165009.0299999919</v>
      </c>
      <c r="Y19" s="176">
        <f>Data!Y155</f>
        <v>4242301.1799999923</v>
      </c>
      <c r="Z19" s="176">
        <f>Data!Z155</f>
        <v>4863311.5199999874</v>
      </c>
      <c r="AA19" s="176">
        <f>Data!AA155</f>
        <v>4349365.3499999996</v>
      </c>
      <c r="AB19" s="176">
        <f>Data!AB155</f>
        <v>4587878.9799999986</v>
      </c>
      <c r="AC19" s="176">
        <f>Data!AC155</f>
        <v>4707348.0199999902</v>
      </c>
      <c r="AD19" s="176">
        <f>Data!AD155</f>
        <v>4616274.5999999847</v>
      </c>
      <c r="AE19" s="176">
        <f>Data!AE155</f>
        <v>5041600.6100000143</v>
      </c>
      <c r="AF19" s="176">
        <f>Data!AF155</f>
        <v>4885085.5199999968</v>
      </c>
      <c r="AG19" s="176">
        <f>Data!AG155</f>
        <v>5628476.9799999958</v>
      </c>
      <c r="AH19" s="176">
        <f>Data!AH155</f>
        <v>5132941.4099999983</v>
      </c>
      <c r="AI19" s="176">
        <f>Data!AI155</f>
        <v>4612761.2399999928</v>
      </c>
      <c r="AJ19" s="176">
        <f>Data!AJ155</f>
        <v>3478675.1399999922</v>
      </c>
      <c r="AK19" s="176">
        <f>Data!AK155</f>
        <v>1819598.1699999985</v>
      </c>
      <c r="AL19" s="176">
        <f>Data!AL155</f>
        <v>571271.51999999979</v>
      </c>
    </row>
    <row r="20" spans="1:38" x14ac:dyDescent="0.2">
      <c r="A20" s="7" t="s">
        <v>24</v>
      </c>
      <c r="B20" s="7"/>
      <c r="C20" s="176">
        <f>Data!C156</f>
        <v>3155624.6400000043</v>
      </c>
      <c r="D20" s="176">
        <f>Data!D156</f>
        <v>3128450.0900000008</v>
      </c>
      <c r="E20" s="176">
        <f>Data!E156</f>
        <v>3401296.8499999978</v>
      </c>
      <c r="F20" s="176">
        <f>Data!F156</f>
        <v>3514485.0899999989</v>
      </c>
      <c r="G20" s="176">
        <f>Data!G156</f>
        <v>3695567.9499999946</v>
      </c>
      <c r="H20" s="176">
        <f>Data!H156</f>
        <v>3808788.1099999971</v>
      </c>
      <c r="I20" s="176">
        <f>Data!I156</f>
        <v>3964625.1999999974</v>
      </c>
      <c r="J20" s="176">
        <f>Data!J156</f>
        <v>3826167.7899999972</v>
      </c>
      <c r="K20" s="176">
        <f>Data!K156</f>
        <v>3705302.7500000009</v>
      </c>
      <c r="L20" s="176">
        <f>Data!L156</f>
        <v>3380867.7100000042</v>
      </c>
      <c r="M20" s="176">
        <f>Data!M156</f>
        <v>3508818.090000005</v>
      </c>
      <c r="N20" s="176">
        <f>Data!N156</f>
        <v>4206137.6900000013</v>
      </c>
      <c r="O20" s="176">
        <f>Data!O156</f>
        <v>3829365.1000000075</v>
      </c>
      <c r="P20" s="176">
        <f>Data!P156</f>
        <v>3925803.6100000073</v>
      </c>
      <c r="Q20" s="176">
        <f>Data!Q156</f>
        <v>4014005.2300000093</v>
      </c>
      <c r="R20" s="176">
        <f>Data!R156</f>
        <v>3907999.6000000071</v>
      </c>
      <c r="S20" s="176">
        <f>Data!S156</f>
        <v>4476938.1700000139</v>
      </c>
      <c r="T20" s="176">
        <f>Data!T156</f>
        <v>4378251.1900000116</v>
      </c>
      <c r="U20" s="176">
        <f>Data!U156</f>
        <v>4517152.400000006</v>
      </c>
      <c r="V20" s="176">
        <f>Data!V156</f>
        <v>4274868.7600000128</v>
      </c>
      <c r="W20" s="176">
        <f>Data!W156</f>
        <v>4296047.6300000111</v>
      </c>
      <c r="X20" s="176">
        <f>Data!X156</f>
        <v>4197720.3499999922</v>
      </c>
      <c r="Y20" s="176">
        <f>Data!Y156</f>
        <v>4277117.1999999918</v>
      </c>
      <c r="Z20" s="176">
        <f>Data!Z156</f>
        <v>4896837.4599999879</v>
      </c>
      <c r="AA20" s="176">
        <f>Data!AA156</f>
        <v>4379469.42</v>
      </c>
      <c r="AB20" s="176">
        <f>Data!AB156</f>
        <v>4615843.9799999986</v>
      </c>
      <c r="AC20" s="176">
        <f>Data!AC156</f>
        <v>4748436.5899999905</v>
      </c>
      <c r="AD20" s="176">
        <f>Data!AD156</f>
        <v>4642222.1599999843</v>
      </c>
      <c r="AE20" s="176">
        <f>Data!AE156</f>
        <v>5070741.000000014</v>
      </c>
      <c r="AF20" s="176">
        <f>Data!AF156</f>
        <v>4885085.5199999968</v>
      </c>
      <c r="AG20" s="176">
        <f>Data!AG156</f>
        <v>5628476.9799999958</v>
      </c>
      <c r="AH20" s="176">
        <f>Data!AH156</f>
        <v>5132941.4099999983</v>
      </c>
      <c r="AI20" s="176">
        <f>Data!AI156</f>
        <v>4612761.2399999928</v>
      </c>
      <c r="AJ20" s="176">
        <f>Data!AJ156</f>
        <v>3478675.1399999922</v>
      </c>
      <c r="AK20" s="176">
        <f>Data!AK156</f>
        <v>1819598.1699999985</v>
      </c>
      <c r="AL20" s="176">
        <f>Data!AL156</f>
        <v>571271.51999999979</v>
      </c>
    </row>
    <row r="21" spans="1:38" x14ac:dyDescent="0.2">
      <c r="A21" s="7" t="s">
        <v>25</v>
      </c>
      <c r="B21" s="7"/>
      <c r="C21" s="176">
        <f>Data!C157</f>
        <v>3199405.9500000044</v>
      </c>
      <c r="D21" s="176">
        <f>Data!D157</f>
        <v>3140818.1800000006</v>
      </c>
      <c r="E21" s="176">
        <f>Data!E157</f>
        <v>3440281.299999998</v>
      </c>
      <c r="F21" s="176">
        <f>Data!F157</f>
        <v>3536011.1099999989</v>
      </c>
      <c r="G21" s="176">
        <f>Data!G157</f>
        <v>3702503.2899999944</v>
      </c>
      <c r="H21" s="176">
        <f>Data!H157</f>
        <v>3837529.9999999972</v>
      </c>
      <c r="I21" s="176">
        <f>Data!I157</f>
        <v>3984849.0099999974</v>
      </c>
      <c r="J21" s="176">
        <f>Data!J157</f>
        <v>3854218.3299999973</v>
      </c>
      <c r="K21" s="176">
        <f>Data!K157</f>
        <v>3734635.9800000009</v>
      </c>
      <c r="L21" s="176">
        <f>Data!L157</f>
        <v>3417853.6600000043</v>
      </c>
      <c r="M21" s="176">
        <f>Data!M157</f>
        <v>3554680.5800000052</v>
      </c>
      <c r="N21" s="176">
        <f>Data!N157</f>
        <v>4234258.7700000014</v>
      </c>
      <c r="O21" s="176">
        <f>Data!O157</f>
        <v>3842092.2100000074</v>
      </c>
      <c r="P21" s="176">
        <f>Data!P157</f>
        <v>3944638.7200000072</v>
      </c>
      <c r="Q21" s="176">
        <f>Data!Q157</f>
        <v>4047996.0400000094</v>
      </c>
      <c r="R21" s="176">
        <f>Data!R157</f>
        <v>3935997.980000007</v>
      </c>
      <c r="S21" s="176">
        <f>Data!S157</f>
        <v>4502701.4900000142</v>
      </c>
      <c r="T21" s="176">
        <f>Data!T157</f>
        <v>4395505.590000012</v>
      </c>
      <c r="U21" s="176">
        <f>Data!U157</f>
        <v>4535162.0400000056</v>
      </c>
      <c r="V21" s="176">
        <f>Data!V157</f>
        <v>4294017.8200000124</v>
      </c>
      <c r="W21" s="176">
        <f>Data!W157</f>
        <v>4310503.9600000111</v>
      </c>
      <c r="X21" s="176">
        <f>Data!X157</f>
        <v>4229068.0499999924</v>
      </c>
      <c r="Y21" s="176">
        <f>Data!Y157</f>
        <v>4290202.2199999914</v>
      </c>
      <c r="Z21" s="176">
        <f>Data!Z157</f>
        <v>4923235.0999999875</v>
      </c>
      <c r="AA21" s="176">
        <f>Data!AA157</f>
        <v>4405902.28</v>
      </c>
      <c r="AB21" s="176">
        <f>Data!AB157</f>
        <v>4661084.459999999</v>
      </c>
      <c r="AC21" s="176">
        <f>Data!AC157</f>
        <v>4769512.7799999909</v>
      </c>
      <c r="AD21" s="176">
        <f>Data!AD157</f>
        <v>4661068.5199999847</v>
      </c>
      <c r="AE21" s="176">
        <f>Data!AE157</f>
        <v>5070741.000000014</v>
      </c>
      <c r="AF21" s="176">
        <f>Data!AF157</f>
        <v>4885085.5199999968</v>
      </c>
      <c r="AG21" s="176">
        <f>Data!AG157</f>
        <v>5628476.9799999958</v>
      </c>
      <c r="AH21" s="176">
        <f>Data!AH157</f>
        <v>5132941.4099999983</v>
      </c>
      <c r="AI21" s="176">
        <f>Data!AI157</f>
        <v>4612761.2399999928</v>
      </c>
      <c r="AJ21" s="176">
        <f>Data!AJ157</f>
        <v>3478675.1399999922</v>
      </c>
      <c r="AK21" s="176">
        <f>Data!AK157</f>
        <v>1819598.1699999985</v>
      </c>
      <c r="AL21" s="176">
        <f>Data!AL157</f>
        <v>571271.51999999979</v>
      </c>
    </row>
    <row r="22" spans="1:38" x14ac:dyDescent="0.2">
      <c r="A22" s="7" t="s">
        <v>26</v>
      </c>
      <c r="B22" s="7"/>
      <c r="C22" s="176">
        <f>Data!C158</f>
        <v>3238878.7300000042</v>
      </c>
      <c r="D22" s="176">
        <f>Data!D158</f>
        <v>3159923.8200000008</v>
      </c>
      <c r="E22" s="176">
        <f>Data!E158</f>
        <v>3451562.8099999977</v>
      </c>
      <c r="F22" s="176">
        <f>Data!F158</f>
        <v>3540134.189999999</v>
      </c>
      <c r="G22" s="176">
        <f>Data!G158</f>
        <v>3711497.2899999944</v>
      </c>
      <c r="H22" s="176">
        <f>Data!H158</f>
        <v>3851700.6599999974</v>
      </c>
      <c r="I22" s="176">
        <f>Data!I158</f>
        <v>4046624.8599999975</v>
      </c>
      <c r="J22" s="176">
        <f>Data!J158</f>
        <v>3873290.2399999974</v>
      </c>
      <c r="K22" s="176">
        <f>Data!K158</f>
        <v>3779593.4800000009</v>
      </c>
      <c r="L22" s="176">
        <f>Data!L158</f>
        <v>3437053.7000000044</v>
      </c>
      <c r="M22" s="176">
        <f>Data!M158</f>
        <v>3571153.2700000051</v>
      </c>
      <c r="N22" s="176">
        <f>Data!N158</f>
        <v>4240982.6700000018</v>
      </c>
      <c r="O22" s="176">
        <f>Data!O158</f>
        <v>3854725.9700000072</v>
      </c>
      <c r="P22" s="176">
        <f>Data!P158</f>
        <v>3964413.060000007</v>
      </c>
      <c r="Q22" s="176">
        <f>Data!Q158</f>
        <v>4073170.2300000093</v>
      </c>
      <c r="R22" s="176">
        <f>Data!R158</f>
        <v>3950557.2000000072</v>
      </c>
      <c r="S22" s="176">
        <f>Data!S158</f>
        <v>4517221.7200000146</v>
      </c>
      <c r="T22" s="176">
        <f>Data!T158</f>
        <v>4401197.7000000123</v>
      </c>
      <c r="U22" s="176">
        <f>Data!U158</f>
        <v>4553259.3600000059</v>
      </c>
      <c r="V22" s="176">
        <f>Data!V158</f>
        <v>4307057.8100000126</v>
      </c>
      <c r="W22" s="176">
        <f>Data!W158</f>
        <v>4332893.8700000113</v>
      </c>
      <c r="X22" s="176">
        <f>Data!X158</f>
        <v>4238464.5999999922</v>
      </c>
      <c r="Y22" s="176">
        <f>Data!Y158</f>
        <v>4306686.1799999913</v>
      </c>
      <c r="Z22" s="176">
        <f>Data!Z158</f>
        <v>4944278.2299999874</v>
      </c>
      <c r="AA22" s="176">
        <f>Data!AA158</f>
        <v>4432896.3500000006</v>
      </c>
      <c r="AB22" s="176">
        <f>Data!AB158</f>
        <v>4680303.9899999993</v>
      </c>
      <c r="AC22" s="176">
        <f>Data!AC158</f>
        <v>4804281.4399999911</v>
      </c>
      <c r="AD22" s="176">
        <f>Data!AD158</f>
        <v>4661068.5199999847</v>
      </c>
      <c r="AE22" s="176">
        <f>Data!AE158</f>
        <v>5070741.000000014</v>
      </c>
      <c r="AF22" s="176">
        <f>Data!AF158</f>
        <v>4885085.5199999968</v>
      </c>
      <c r="AG22" s="176">
        <f>Data!AG158</f>
        <v>5628476.9799999958</v>
      </c>
      <c r="AH22" s="176">
        <f>Data!AH158</f>
        <v>5132941.4099999983</v>
      </c>
      <c r="AI22" s="176">
        <f>Data!AI158</f>
        <v>4612761.2399999928</v>
      </c>
      <c r="AJ22" s="176">
        <f>Data!AJ158</f>
        <v>3478675.1399999922</v>
      </c>
      <c r="AK22" s="176">
        <f>Data!AK158</f>
        <v>1819598.1699999985</v>
      </c>
      <c r="AL22" s="176">
        <f>Data!AL158</f>
        <v>571271.51999999979</v>
      </c>
    </row>
    <row r="23" spans="1:38" x14ac:dyDescent="0.2">
      <c r="A23" s="7" t="s">
        <v>27</v>
      </c>
      <c r="B23" s="7"/>
      <c r="C23" s="176">
        <f>Data!C159</f>
        <v>3247774.4000000041</v>
      </c>
      <c r="D23" s="176">
        <f>Data!D159</f>
        <v>3169327.1400000006</v>
      </c>
      <c r="E23" s="176">
        <f>Data!E159</f>
        <v>3454483.0399999977</v>
      </c>
      <c r="F23" s="176">
        <f>Data!F159</f>
        <v>3545073.2899999991</v>
      </c>
      <c r="G23" s="176">
        <f>Data!G159</f>
        <v>3722278.5499999942</v>
      </c>
      <c r="H23" s="176">
        <f>Data!H159</f>
        <v>3881740.5099999974</v>
      </c>
      <c r="I23" s="176">
        <f>Data!I159</f>
        <v>4060100.7899999977</v>
      </c>
      <c r="J23" s="176">
        <f>Data!J159</f>
        <v>3887238.7599999974</v>
      </c>
      <c r="K23" s="176">
        <f>Data!K159</f>
        <v>3806604.7400000007</v>
      </c>
      <c r="L23" s="176">
        <f>Data!L159</f>
        <v>3449762.4600000042</v>
      </c>
      <c r="M23" s="176">
        <f>Data!M159</f>
        <v>3576033.1400000053</v>
      </c>
      <c r="N23" s="176">
        <f>Data!N159</f>
        <v>4251680.2800000021</v>
      </c>
      <c r="O23" s="176">
        <f>Data!O159</f>
        <v>3868468.2400000072</v>
      </c>
      <c r="P23" s="176">
        <f>Data!P159</f>
        <v>3987163.1400000071</v>
      </c>
      <c r="Q23" s="176">
        <f>Data!Q159</f>
        <v>4099140.9800000093</v>
      </c>
      <c r="R23" s="176">
        <f>Data!R159</f>
        <v>3955828.5500000073</v>
      </c>
      <c r="S23" s="176">
        <f>Data!S159</f>
        <v>4521784.5000000149</v>
      </c>
      <c r="T23" s="176">
        <f>Data!T159</f>
        <v>4416634.2500000121</v>
      </c>
      <c r="U23" s="176">
        <f>Data!U159</f>
        <v>4581966.4100000057</v>
      </c>
      <c r="V23" s="176">
        <f>Data!V159</f>
        <v>4326023.4700000128</v>
      </c>
      <c r="W23" s="176">
        <f>Data!W159</f>
        <v>4344062.260000011</v>
      </c>
      <c r="X23" s="176">
        <f>Data!X159</f>
        <v>4257872.0499999924</v>
      </c>
      <c r="Y23" s="176">
        <f>Data!Y159</f>
        <v>4326187.5299999909</v>
      </c>
      <c r="Z23" s="176">
        <f>Data!Z159</f>
        <v>4957852.289999987</v>
      </c>
      <c r="AA23" s="176">
        <f>Data!AA159</f>
        <v>4447257.4200000009</v>
      </c>
      <c r="AB23" s="176">
        <f>Data!AB159</f>
        <v>4709219.6099999994</v>
      </c>
      <c r="AC23" s="176">
        <f>Data!AC159</f>
        <v>4804281.4399999911</v>
      </c>
      <c r="AD23" s="176">
        <f>Data!AD159</f>
        <v>4661068.5199999847</v>
      </c>
      <c r="AE23" s="176">
        <f>Data!AE159</f>
        <v>5070741.000000014</v>
      </c>
      <c r="AF23" s="176">
        <f>Data!AF159</f>
        <v>4885085.5199999968</v>
      </c>
      <c r="AG23" s="176">
        <f>Data!AG159</f>
        <v>5628476.9799999958</v>
      </c>
      <c r="AH23" s="176">
        <f>Data!AH159</f>
        <v>5132941.4099999983</v>
      </c>
      <c r="AI23" s="176">
        <f>Data!AI159</f>
        <v>4612761.2399999928</v>
      </c>
      <c r="AJ23" s="176">
        <f>Data!AJ159</f>
        <v>3478675.1399999922</v>
      </c>
      <c r="AK23" s="176">
        <f>Data!AK159</f>
        <v>1819598.1699999985</v>
      </c>
      <c r="AL23" s="176">
        <f>Data!AL159</f>
        <v>571271.51999999979</v>
      </c>
    </row>
    <row r="24" spans="1:38" x14ac:dyDescent="0.2">
      <c r="A24" s="7" t="s">
        <v>28</v>
      </c>
      <c r="B24" s="7"/>
      <c r="C24" s="176">
        <f>Data!C160</f>
        <v>3259026.7100000042</v>
      </c>
      <c r="D24" s="176">
        <f>Data!D160</f>
        <v>3175663.7900000005</v>
      </c>
      <c r="E24" s="176">
        <f>Data!E160</f>
        <v>3457778.6699999976</v>
      </c>
      <c r="F24" s="176">
        <f>Data!F160</f>
        <v>3551043.0399999991</v>
      </c>
      <c r="G24" s="176">
        <f>Data!G160</f>
        <v>3772363.2499999944</v>
      </c>
      <c r="H24" s="176">
        <f>Data!H160</f>
        <v>3888588.4999999977</v>
      </c>
      <c r="I24" s="176">
        <f>Data!I160</f>
        <v>4081862.0699999975</v>
      </c>
      <c r="J24" s="176">
        <f>Data!J160</f>
        <v>3901068.1499999976</v>
      </c>
      <c r="K24" s="176">
        <f>Data!K160</f>
        <v>3825822.4800000009</v>
      </c>
      <c r="L24" s="176">
        <f>Data!L160</f>
        <v>3459382.7500000042</v>
      </c>
      <c r="M24" s="176">
        <f>Data!M160</f>
        <v>3584092.0000000051</v>
      </c>
      <c r="N24" s="176">
        <f>Data!N160</f>
        <v>4272119.8600000022</v>
      </c>
      <c r="O24" s="176">
        <f>Data!O160</f>
        <v>3880521.3800000073</v>
      </c>
      <c r="P24" s="176">
        <f>Data!P160</f>
        <v>4004863.0300000072</v>
      </c>
      <c r="Q24" s="176">
        <f>Data!Q160</f>
        <v>4101223.8100000094</v>
      </c>
      <c r="R24" s="176">
        <f>Data!R160</f>
        <v>3960698.6400000071</v>
      </c>
      <c r="S24" s="176">
        <f>Data!S160</f>
        <v>4542729.1100000152</v>
      </c>
      <c r="T24" s="176">
        <f>Data!T160</f>
        <v>4429332.7800000124</v>
      </c>
      <c r="U24" s="176">
        <f>Data!U160</f>
        <v>4597927.730000006</v>
      </c>
      <c r="V24" s="176">
        <f>Data!V160</f>
        <v>4337775.8100000126</v>
      </c>
      <c r="W24" s="176">
        <f>Data!W160</f>
        <v>4358789.8200000105</v>
      </c>
      <c r="X24" s="176">
        <f>Data!X160</f>
        <v>4280191.2599999923</v>
      </c>
      <c r="Y24" s="176">
        <f>Data!Y160</f>
        <v>4337376.4099999908</v>
      </c>
      <c r="Z24" s="176">
        <f>Data!Z160</f>
        <v>4970042.7999999868</v>
      </c>
      <c r="AA24" s="176">
        <f>Data!AA160</f>
        <v>4461740.7500000009</v>
      </c>
      <c r="AB24" s="176">
        <f>Data!AB160</f>
        <v>4709219.6099999994</v>
      </c>
      <c r="AC24" s="176">
        <f>Data!AC160</f>
        <v>4804281.4399999911</v>
      </c>
      <c r="AD24" s="176">
        <f>Data!AD160</f>
        <v>4661068.5199999847</v>
      </c>
      <c r="AE24" s="176">
        <f>Data!AE160</f>
        <v>5070741.000000014</v>
      </c>
      <c r="AF24" s="176">
        <f>Data!AF160</f>
        <v>4885085.5199999968</v>
      </c>
      <c r="AG24" s="176">
        <f>Data!AG160</f>
        <v>5628476.9799999958</v>
      </c>
      <c r="AH24" s="176">
        <f>Data!AH160</f>
        <v>5132941.4099999983</v>
      </c>
      <c r="AI24" s="176">
        <f>Data!AI160</f>
        <v>4612761.2399999928</v>
      </c>
      <c r="AJ24" s="176">
        <f>Data!AJ160</f>
        <v>3478675.1399999922</v>
      </c>
      <c r="AK24" s="176">
        <f>Data!AK160</f>
        <v>1819598.1699999985</v>
      </c>
      <c r="AL24" s="176">
        <f>Data!AL160</f>
        <v>571271.51999999979</v>
      </c>
    </row>
    <row r="25" spans="1:38" x14ac:dyDescent="0.2">
      <c r="A25" s="7" t="s">
        <v>29</v>
      </c>
      <c r="B25" s="7"/>
      <c r="C25" s="176">
        <f>Data!C161</f>
        <v>3262295.6400000043</v>
      </c>
      <c r="D25" s="176">
        <f>Data!D161</f>
        <v>3182000.2700000005</v>
      </c>
      <c r="E25" s="176">
        <f>Data!E161</f>
        <v>3473366.6399999978</v>
      </c>
      <c r="F25" s="176">
        <f>Data!F161</f>
        <v>3574286.189999999</v>
      </c>
      <c r="G25" s="176">
        <f>Data!G161</f>
        <v>3784183.6899999944</v>
      </c>
      <c r="H25" s="176">
        <f>Data!H161</f>
        <v>3931192.0999999978</v>
      </c>
      <c r="I25" s="176">
        <f>Data!I161</f>
        <v>4100913.6299999976</v>
      </c>
      <c r="J25" s="176">
        <f>Data!J161</f>
        <v>3910239.7799999975</v>
      </c>
      <c r="K25" s="176">
        <f>Data!K161</f>
        <v>3839335.5300000007</v>
      </c>
      <c r="L25" s="176">
        <f>Data!L161</f>
        <v>3476842.280000004</v>
      </c>
      <c r="M25" s="176">
        <f>Data!M161</f>
        <v>3595969.8300000052</v>
      </c>
      <c r="N25" s="176">
        <f>Data!N161</f>
        <v>4276374.7100000018</v>
      </c>
      <c r="O25" s="176">
        <f>Data!O161</f>
        <v>3899448.0800000075</v>
      </c>
      <c r="P25" s="176">
        <f>Data!P161</f>
        <v>4008927.5900000073</v>
      </c>
      <c r="Q25" s="176">
        <f>Data!Q161</f>
        <v>4103634.5200000093</v>
      </c>
      <c r="R25" s="176">
        <f>Data!R161</f>
        <v>3968278.8000000073</v>
      </c>
      <c r="S25" s="176">
        <f>Data!S161</f>
        <v>4550096.8900000155</v>
      </c>
      <c r="T25" s="176">
        <f>Data!T161</f>
        <v>4445107.9100000123</v>
      </c>
      <c r="U25" s="176">
        <f>Data!U161</f>
        <v>4607377.1800000062</v>
      </c>
      <c r="V25" s="176">
        <f>Data!V161</f>
        <v>4353004.2700000126</v>
      </c>
      <c r="W25" s="176">
        <f>Data!W161</f>
        <v>4368951.8300000103</v>
      </c>
      <c r="X25" s="176">
        <f>Data!X161</f>
        <v>4287832.4499999927</v>
      </c>
      <c r="Y25" s="176">
        <f>Data!Y161</f>
        <v>4350329.6799999904</v>
      </c>
      <c r="Z25" s="176">
        <f>Data!Z161</f>
        <v>4984576.0699999863</v>
      </c>
      <c r="AA25" s="176">
        <f>Data!AA161</f>
        <v>4461740.7500000009</v>
      </c>
      <c r="AB25" s="176">
        <f>Data!AB161</f>
        <v>4709219.6099999994</v>
      </c>
      <c r="AC25" s="176">
        <f>Data!AC161</f>
        <v>4804281.4399999911</v>
      </c>
      <c r="AD25" s="176">
        <f>Data!AD161</f>
        <v>4661068.5199999847</v>
      </c>
      <c r="AE25" s="176">
        <f>Data!AE161</f>
        <v>5070741.000000014</v>
      </c>
      <c r="AF25" s="176">
        <f>Data!AF161</f>
        <v>4885085.5199999968</v>
      </c>
      <c r="AG25" s="176">
        <f>Data!AG161</f>
        <v>5628476.9799999958</v>
      </c>
      <c r="AH25" s="176">
        <f>Data!AH161</f>
        <v>5132941.4099999983</v>
      </c>
      <c r="AI25" s="176">
        <f>Data!AI161</f>
        <v>4612761.2399999928</v>
      </c>
      <c r="AJ25" s="176">
        <f>Data!AJ161</f>
        <v>3478675.1399999922</v>
      </c>
      <c r="AK25" s="176">
        <f>Data!AK161</f>
        <v>1819598.1699999985</v>
      </c>
      <c r="AL25" s="176">
        <f>Data!AL161</f>
        <v>571271.51999999979</v>
      </c>
    </row>
    <row r="26" spans="1:38" x14ac:dyDescent="0.2">
      <c r="A26" s="7" t="s">
        <v>30</v>
      </c>
      <c r="B26" s="7"/>
      <c r="C26" s="176">
        <f>Data!C162</f>
        <v>3268590.5300000045</v>
      </c>
      <c r="D26" s="176">
        <f>Data!D162</f>
        <v>3193169.2300000004</v>
      </c>
      <c r="E26" s="176">
        <f>Data!E162</f>
        <v>3532493.1799999978</v>
      </c>
      <c r="F26" s="176">
        <f>Data!F162</f>
        <v>3581244.149999999</v>
      </c>
      <c r="G26" s="176">
        <f>Data!G162</f>
        <v>3808935.1099999943</v>
      </c>
      <c r="H26" s="176">
        <f>Data!H162</f>
        <v>3975291.9499999979</v>
      </c>
      <c r="I26" s="176">
        <f>Data!I162</f>
        <v>4109949.9799999977</v>
      </c>
      <c r="J26" s="176">
        <f>Data!J162</f>
        <v>3915551.1499999976</v>
      </c>
      <c r="K26" s="176">
        <f>Data!K162</f>
        <v>3859897.6700000009</v>
      </c>
      <c r="L26" s="176">
        <f>Data!L162</f>
        <v>3518064.4500000039</v>
      </c>
      <c r="M26" s="176">
        <f>Data!M162</f>
        <v>3611179.8300000052</v>
      </c>
      <c r="N26" s="176">
        <f>Data!N162</f>
        <v>4291589.200000002</v>
      </c>
      <c r="O26" s="176">
        <f>Data!O162</f>
        <v>3901026.8700000076</v>
      </c>
      <c r="P26" s="176">
        <f>Data!P162</f>
        <v>4009651.6400000071</v>
      </c>
      <c r="Q26" s="176">
        <f>Data!Q162</f>
        <v>4105661.0600000094</v>
      </c>
      <c r="R26" s="176">
        <f>Data!R162</f>
        <v>3982257.9300000072</v>
      </c>
      <c r="S26" s="176">
        <f>Data!S162</f>
        <v>4560829.3900000155</v>
      </c>
      <c r="T26" s="176">
        <f>Data!T162</f>
        <v>4447085.3900000127</v>
      </c>
      <c r="U26" s="176">
        <f>Data!U162</f>
        <v>4622861.2100000065</v>
      </c>
      <c r="V26" s="176">
        <f>Data!V162</f>
        <v>4364296.5100000128</v>
      </c>
      <c r="W26" s="176">
        <f>Data!W162</f>
        <v>4381549.6800000099</v>
      </c>
      <c r="X26" s="176">
        <f>Data!X162</f>
        <v>4297884.0699999928</v>
      </c>
      <c r="Y26" s="176">
        <f>Data!Y162</f>
        <v>4362488.2299999902</v>
      </c>
      <c r="Z26" s="176">
        <f>Data!Z162</f>
        <v>4984576.0699999863</v>
      </c>
      <c r="AA26" s="176">
        <f>Data!AA162</f>
        <v>4461740.7500000009</v>
      </c>
      <c r="AB26" s="176">
        <f>Data!AB162</f>
        <v>4709219.6099999994</v>
      </c>
      <c r="AC26" s="176">
        <f>Data!AC162</f>
        <v>4804281.4399999911</v>
      </c>
      <c r="AD26" s="176">
        <f>Data!AD162</f>
        <v>4661068.5199999847</v>
      </c>
      <c r="AE26" s="176">
        <f>Data!AE162</f>
        <v>5070741.000000014</v>
      </c>
      <c r="AF26" s="176">
        <f>Data!AF162</f>
        <v>4885085.5199999968</v>
      </c>
      <c r="AG26" s="176">
        <f>Data!AG162</f>
        <v>5628476.9799999958</v>
      </c>
      <c r="AH26" s="176">
        <f>Data!AH162</f>
        <v>5132941.4099999983</v>
      </c>
      <c r="AI26" s="176">
        <f>Data!AI162</f>
        <v>4612761.2399999928</v>
      </c>
      <c r="AJ26" s="176">
        <f>Data!AJ162</f>
        <v>3478675.1399999922</v>
      </c>
      <c r="AK26" s="176">
        <f>Data!AK162</f>
        <v>1819598.1699999985</v>
      </c>
      <c r="AL26" s="176">
        <f>Data!AL162</f>
        <v>571271.51999999979</v>
      </c>
    </row>
    <row r="27" spans="1:38" x14ac:dyDescent="0.2">
      <c r="A27" s="7" t="s">
        <v>31</v>
      </c>
      <c r="B27" s="7"/>
      <c r="C27" s="176">
        <f>Data!C163</f>
        <v>3276367.9200000046</v>
      </c>
      <c r="D27" s="176">
        <f>Data!D163</f>
        <v>3242069.2000000007</v>
      </c>
      <c r="E27" s="176">
        <f>Data!E163</f>
        <v>3536771.549999998</v>
      </c>
      <c r="F27" s="176">
        <f>Data!F163</f>
        <v>3616249.7399999988</v>
      </c>
      <c r="G27" s="176">
        <f>Data!G163</f>
        <v>3856007.6999999941</v>
      </c>
      <c r="H27" s="176">
        <f>Data!H163</f>
        <v>3977570.4199999981</v>
      </c>
      <c r="I27" s="176">
        <f>Data!I163</f>
        <v>4111155.2999999975</v>
      </c>
      <c r="J27" s="176">
        <f>Data!J163</f>
        <v>3925693.3299999977</v>
      </c>
      <c r="K27" s="176">
        <f>Data!K163</f>
        <v>3875248.870000001</v>
      </c>
      <c r="L27" s="176">
        <f>Data!L163</f>
        <v>3529519.1000000038</v>
      </c>
      <c r="M27" s="176">
        <f>Data!M163</f>
        <v>3629038.9900000053</v>
      </c>
      <c r="N27" s="176">
        <f>Data!N163</f>
        <v>4293868.2800000021</v>
      </c>
      <c r="O27" s="176">
        <f>Data!O163</f>
        <v>3911661.5400000075</v>
      </c>
      <c r="P27" s="176">
        <f>Data!P163</f>
        <v>4011730.1200000071</v>
      </c>
      <c r="Q27" s="176">
        <f>Data!Q163</f>
        <v>4132567.5000000093</v>
      </c>
      <c r="R27" s="176">
        <f>Data!R163</f>
        <v>3982919.9000000074</v>
      </c>
      <c r="S27" s="176">
        <f>Data!S163</f>
        <v>4562544.1500000153</v>
      </c>
      <c r="T27" s="176">
        <f>Data!T163</f>
        <v>4451714.7600000128</v>
      </c>
      <c r="U27" s="176">
        <f>Data!U163</f>
        <v>4645980.2500000065</v>
      </c>
      <c r="V27" s="176">
        <f>Data!V163</f>
        <v>4374501.0600000126</v>
      </c>
      <c r="W27" s="176">
        <f>Data!W163</f>
        <v>4384644.9900000095</v>
      </c>
      <c r="X27" s="176">
        <f>Data!X163</f>
        <v>4311182.3399999924</v>
      </c>
      <c r="Y27" s="176">
        <f>Data!Y163</f>
        <v>4362488.2299999902</v>
      </c>
      <c r="Z27" s="176">
        <f>Data!Z163</f>
        <v>4984576.0699999863</v>
      </c>
      <c r="AA27" s="176">
        <f>Data!AA163</f>
        <v>4461740.7500000009</v>
      </c>
      <c r="AB27" s="176">
        <f>Data!AB163</f>
        <v>4709219.6099999994</v>
      </c>
      <c r="AC27" s="176">
        <f>Data!AC163</f>
        <v>4804281.4399999911</v>
      </c>
      <c r="AD27" s="176">
        <f>Data!AD163</f>
        <v>4661068.5199999847</v>
      </c>
      <c r="AE27" s="176">
        <f>Data!AE163</f>
        <v>5070741.000000014</v>
      </c>
      <c r="AF27" s="176">
        <f>Data!AF163</f>
        <v>4885085.5199999968</v>
      </c>
      <c r="AG27" s="176">
        <f>Data!AG163</f>
        <v>5628476.9799999958</v>
      </c>
      <c r="AH27" s="176">
        <f>Data!AH163</f>
        <v>5132941.4099999983</v>
      </c>
      <c r="AI27" s="176">
        <f>Data!AI163</f>
        <v>4612761.2399999928</v>
      </c>
      <c r="AJ27" s="176">
        <f>Data!AJ163</f>
        <v>3478675.1399999922</v>
      </c>
      <c r="AK27" s="176">
        <f>Data!AK163</f>
        <v>1819598.1699999985</v>
      </c>
      <c r="AL27" s="176">
        <f>Data!AL163</f>
        <v>571271.51999999979</v>
      </c>
    </row>
    <row r="28" spans="1:38" x14ac:dyDescent="0.2">
      <c r="A28" s="7" t="s">
        <v>32</v>
      </c>
      <c r="B28" s="7"/>
      <c r="C28" s="176">
        <f>Data!C164</f>
        <v>3297201.0900000045</v>
      </c>
      <c r="D28" s="176">
        <f>Data!D164</f>
        <v>3245896.8900000006</v>
      </c>
      <c r="E28" s="176">
        <f>Data!E164</f>
        <v>3571137.4999999981</v>
      </c>
      <c r="F28" s="176">
        <f>Data!F164</f>
        <v>3631067.439999999</v>
      </c>
      <c r="G28" s="176">
        <f>Data!G164</f>
        <v>3857142.1099999943</v>
      </c>
      <c r="H28" s="176">
        <f>Data!H164</f>
        <v>3980965.5599999982</v>
      </c>
      <c r="I28" s="176">
        <f>Data!I164</f>
        <v>4118252.8999999976</v>
      </c>
      <c r="J28" s="176">
        <f>Data!J164</f>
        <v>3947051.3999999976</v>
      </c>
      <c r="K28" s="176">
        <f>Data!K164</f>
        <v>3876959.040000001</v>
      </c>
      <c r="L28" s="176">
        <f>Data!L164</f>
        <v>3532841.7200000039</v>
      </c>
      <c r="M28" s="176">
        <f>Data!M164</f>
        <v>3645621.3300000052</v>
      </c>
      <c r="N28" s="176">
        <f>Data!N164</f>
        <v>4294984.6400000025</v>
      </c>
      <c r="O28" s="176">
        <f>Data!O164</f>
        <v>3914804.5100000077</v>
      </c>
      <c r="P28" s="176">
        <f>Data!P164</f>
        <v>4014923.4300000072</v>
      </c>
      <c r="Q28" s="176">
        <f>Data!Q164</f>
        <v>4138968.6300000092</v>
      </c>
      <c r="R28" s="176">
        <f>Data!R164</f>
        <v>3983792.6200000076</v>
      </c>
      <c r="S28" s="176">
        <f>Data!S164</f>
        <v>4567385.6000000155</v>
      </c>
      <c r="T28" s="176">
        <f>Data!T164</f>
        <v>4468278.0400000131</v>
      </c>
      <c r="U28" s="176">
        <f>Data!U164</f>
        <v>4651398.3700000066</v>
      </c>
      <c r="V28" s="176">
        <f>Data!V164</f>
        <v>4375067.0100000128</v>
      </c>
      <c r="W28" s="176">
        <f>Data!W164</f>
        <v>4392206.6300000092</v>
      </c>
      <c r="X28" s="176">
        <f>Data!X164</f>
        <v>4311182.3399999924</v>
      </c>
      <c r="Y28" s="176">
        <f>Data!Y164</f>
        <v>4362488.2299999902</v>
      </c>
      <c r="Z28" s="176">
        <f>Data!Z164</f>
        <v>4984576.0699999863</v>
      </c>
      <c r="AA28" s="176">
        <f>Data!AA164</f>
        <v>4461740.7500000009</v>
      </c>
      <c r="AB28" s="176">
        <f>Data!AB164</f>
        <v>4709219.6099999994</v>
      </c>
      <c r="AC28" s="176">
        <f>Data!AC164</f>
        <v>4804281.4399999911</v>
      </c>
      <c r="AD28" s="176">
        <f>Data!AD164</f>
        <v>4661068.5199999847</v>
      </c>
      <c r="AE28" s="176">
        <f>Data!AE164</f>
        <v>5070741.000000014</v>
      </c>
      <c r="AF28" s="176">
        <f>Data!AF164</f>
        <v>4885085.5199999968</v>
      </c>
      <c r="AG28" s="176">
        <f>Data!AG164</f>
        <v>5628476.9799999958</v>
      </c>
      <c r="AH28" s="176">
        <f>Data!AH164</f>
        <v>5132941.4099999983</v>
      </c>
      <c r="AI28" s="176">
        <f>Data!AI164</f>
        <v>4612761.2399999928</v>
      </c>
      <c r="AJ28" s="176">
        <f>Data!AJ164</f>
        <v>3478675.1399999922</v>
      </c>
      <c r="AK28" s="176">
        <f>Data!AK164</f>
        <v>1819598.1699999985</v>
      </c>
      <c r="AL28" s="176">
        <f>Data!AL164</f>
        <v>571271.51999999979</v>
      </c>
    </row>
    <row r="29" spans="1:38" x14ac:dyDescent="0.2">
      <c r="A29" s="7" t="s">
        <v>33</v>
      </c>
      <c r="B29" s="7"/>
      <c r="C29" s="176">
        <f>Data!C165</f>
        <v>3306016.3500000043</v>
      </c>
      <c r="D29" s="176">
        <f>Data!D165</f>
        <v>3260990.4200000004</v>
      </c>
      <c r="E29" s="176">
        <f>Data!E165</f>
        <v>3599710.2199999983</v>
      </c>
      <c r="F29" s="176">
        <f>Data!F165</f>
        <v>3631938.939999999</v>
      </c>
      <c r="G29" s="176">
        <f>Data!G165</f>
        <v>3858534.4799999944</v>
      </c>
      <c r="H29" s="176">
        <f>Data!H165</f>
        <v>3982193.7499999981</v>
      </c>
      <c r="I29" s="176">
        <f>Data!I165</f>
        <v>4131671.8299999977</v>
      </c>
      <c r="J29" s="176">
        <f>Data!J165</f>
        <v>3949737.1499999976</v>
      </c>
      <c r="K29" s="176">
        <f>Data!K165</f>
        <v>3877800.4700000011</v>
      </c>
      <c r="L29" s="176">
        <f>Data!L165</f>
        <v>3534511.090000004</v>
      </c>
      <c r="M29" s="176">
        <f>Data!M165</f>
        <v>3649612.8500000052</v>
      </c>
      <c r="N29" s="176">
        <f>Data!N165</f>
        <v>4304099.0700000022</v>
      </c>
      <c r="O29" s="176">
        <f>Data!O165</f>
        <v>3925175.9800000079</v>
      </c>
      <c r="P29" s="176">
        <f>Data!P165</f>
        <v>4023603.4300000072</v>
      </c>
      <c r="Q29" s="176">
        <f>Data!Q165</f>
        <v>4139084.5200000093</v>
      </c>
      <c r="R29" s="176">
        <f>Data!R165</f>
        <v>3990664.9300000076</v>
      </c>
      <c r="S29" s="176">
        <f>Data!S165</f>
        <v>4571881.1700000158</v>
      </c>
      <c r="T29" s="176">
        <f>Data!T165</f>
        <v>4470030.7200000128</v>
      </c>
      <c r="U29" s="176">
        <f>Data!U165</f>
        <v>4653316.1700000064</v>
      </c>
      <c r="V29" s="176">
        <f>Data!V165</f>
        <v>4375399.0900000129</v>
      </c>
      <c r="W29" s="176">
        <f>Data!W165</f>
        <v>4392206.6300000092</v>
      </c>
      <c r="X29" s="176">
        <f>Data!X165</f>
        <v>4311182.3399999924</v>
      </c>
      <c r="Y29" s="176">
        <f>Data!Y165</f>
        <v>4362488.2299999902</v>
      </c>
      <c r="Z29" s="176">
        <f>Data!Z165</f>
        <v>4984576.0699999863</v>
      </c>
      <c r="AA29" s="176">
        <f>Data!AA165</f>
        <v>4461740.7500000009</v>
      </c>
      <c r="AB29" s="176">
        <f>Data!AB165</f>
        <v>4709219.6099999994</v>
      </c>
      <c r="AC29" s="176">
        <f>Data!AC165</f>
        <v>4804281.4399999911</v>
      </c>
      <c r="AD29" s="176">
        <f>Data!AD165</f>
        <v>4661068.5199999847</v>
      </c>
      <c r="AE29" s="176">
        <f>Data!AE165</f>
        <v>5070741.000000014</v>
      </c>
      <c r="AF29" s="176">
        <f>Data!AF165</f>
        <v>4885085.5199999968</v>
      </c>
      <c r="AG29" s="176">
        <f>Data!AG165</f>
        <v>5628476.9799999958</v>
      </c>
      <c r="AH29" s="176">
        <f>Data!AH165</f>
        <v>5132941.4099999983</v>
      </c>
      <c r="AI29" s="176">
        <f>Data!AI165</f>
        <v>4612761.2399999928</v>
      </c>
      <c r="AJ29" s="176">
        <f>Data!AJ165</f>
        <v>3478675.1399999922</v>
      </c>
      <c r="AK29" s="176">
        <f>Data!AK165</f>
        <v>1819598.1699999985</v>
      </c>
      <c r="AL29" s="176">
        <f>Data!AL165</f>
        <v>571271.51999999979</v>
      </c>
    </row>
    <row r="30" spans="1:38" x14ac:dyDescent="0.2">
      <c r="A30" s="7" t="s">
        <v>34</v>
      </c>
      <c r="B30" s="7"/>
      <c r="C30" s="176">
        <f>Data!C166</f>
        <v>3325047.0900000045</v>
      </c>
      <c r="D30" s="176">
        <f>Data!D166</f>
        <v>3297736.8100000005</v>
      </c>
      <c r="E30" s="176">
        <f>Data!E166</f>
        <v>3600567.0499999984</v>
      </c>
      <c r="F30" s="176">
        <f>Data!F166</f>
        <v>3631978.939999999</v>
      </c>
      <c r="G30" s="176">
        <f>Data!G166</f>
        <v>3884628.8299999945</v>
      </c>
      <c r="H30" s="176">
        <f>Data!H166</f>
        <v>4005030.6899999981</v>
      </c>
      <c r="I30" s="176">
        <f>Data!I166</f>
        <v>4134890.8899999978</v>
      </c>
      <c r="J30" s="176">
        <f>Data!J166</f>
        <v>3951436.1199999978</v>
      </c>
      <c r="K30" s="176">
        <f>Data!K166</f>
        <v>3878147.9300000011</v>
      </c>
      <c r="L30" s="176">
        <f>Data!L166</f>
        <v>3535491.2700000042</v>
      </c>
      <c r="M30" s="176">
        <f>Data!M166</f>
        <v>3663064.8500000052</v>
      </c>
      <c r="N30" s="176">
        <f>Data!N166</f>
        <v>4305068.0900000017</v>
      </c>
      <c r="O30" s="176">
        <f>Data!O166</f>
        <v>3935308.7400000077</v>
      </c>
      <c r="P30" s="176">
        <f>Data!P166</f>
        <v>4023704.4300000072</v>
      </c>
      <c r="Q30" s="176">
        <f>Data!Q166</f>
        <v>4142070.1500000092</v>
      </c>
      <c r="R30" s="176">
        <f>Data!R166</f>
        <v>4001800.5300000077</v>
      </c>
      <c r="S30" s="176">
        <f>Data!S166</f>
        <v>4574213.3800000157</v>
      </c>
      <c r="T30" s="176">
        <f>Data!T166</f>
        <v>4470892.8200000124</v>
      </c>
      <c r="U30" s="176">
        <f>Data!U166</f>
        <v>4654030.8600000069</v>
      </c>
      <c r="V30" s="176">
        <f>Data!V166</f>
        <v>4375399.0900000129</v>
      </c>
      <c r="W30" s="176">
        <f>Data!W166</f>
        <v>4392206.6300000092</v>
      </c>
      <c r="X30" s="176">
        <f>Data!X166</f>
        <v>4311182.3399999924</v>
      </c>
      <c r="Y30" s="176">
        <f>Data!Y166</f>
        <v>4362488.2299999902</v>
      </c>
      <c r="Z30" s="176">
        <f>Data!Z166</f>
        <v>4984576.0699999863</v>
      </c>
      <c r="AA30" s="176">
        <f>Data!AA166</f>
        <v>4461740.7500000009</v>
      </c>
      <c r="AB30" s="176">
        <f>Data!AB166</f>
        <v>4709219.6099999994</v>
      </c>
      <c r="AC30" s="176">
        <f>Data!AC166</f>
        <v>4804281.4399999911</v>
      </c>
      <c r="AD30" s="176">
        <f>Data!AD166</f>
        <v>4661068.5199999847</v>
      </c>
      <c r="AE30" s="176">
        <f>Data!AE166</f>
        <v>5070741.000000014</v>
      </c>
      <c r="AF30" s="176">
        <f>Data!AF166</f>
        <v>4885085.5199999968</v>
      </c>
      <c r="AG30" s="176">
        <f>Data!AG166</f>
        <v>5628476.9799999958</v>
      </c>
      <c r="AH30" s="176">
        <f>Data!AH166</f>
        <v>5132941.4099999983</v>
      </c>
      <c r="AI30" s="176">
        <f>Data!AI166</f>
        <v>4612761.2399999928</v>
      </c>
      <c r="AJ30" s="176">
        <f>Data!AJ166</f>
        <v>3478675.1399999922</v>
      </c>
      <c r="AK30" s="176">
        <f>Data!AK166</f>
        <v>1819598.1699999985</v>
      </c>
      <c r="AL30" s="176">
        <f>Data!AL166</f>
        <v>571271.51999999979</v>
      </c>
    </row>
    <row r="31" spans="1:38" x14ac:dyDescent="0.2">
      <c r="A31" s="7" t="s">
        <v>35</v>
      </c>
      <c r="B31" s="7"/>
      <c r="C31" s="176">
        <f>Data!C167</f>
        <v>3365770.1100000045</v>
      </c>
      <c r="D31" s="176">
        <f>Data!D167</f>
        <v>3298909.0600000005</v>
      </c>
      <c r="E31" s="176">
        <f>Data!E167</f>
        <v>3601522.3799999985</v>
      </c>
      <c r="F31" s="176">
        <f>Data!F167</f>
        <v>3641190.459999999</v>
      </c>
      <c r="G31" s="176">
        <f>Data!G167</f>
        <v>3884900.4599999944</v>
      </c>
      <c r="H31" s="176">
        <f>Data!H167</f>
        <v>4006450.5099999979</v>
      </c>
      <c r="I31" s="176">
        <f>Data!I167</f>
        <v>4136832.6199999978</v>
      </c>
      <c r="J31" s="176">
        <f>Data!J167</f>
        <v>3955003.2899999977</v>
      </c>
      <c r="K31" s="176">
        <f>Data!K167</f>
        <v>3879033.9300000011</v>
      </c>
      <c r="L31" s="176">
        <f>Data!L167</f>
        <v>3536063.8900000043</v>
      </c>
      <c r="M31" s="176">
        <f>Data!M167</f>
        <v>3674021.6800000053</v>
      </c>
      <c r="N31" s="176">
        <f>Data!N167</f>
        <v>4312192.3000000017</v>
      </c>
      <c r="O31" s="176">
        <f>Data!O167</f>
        <v>3935499.7100000079</v>
      </c>
      <c r="P31" s="176">
        <f>Data!P167</f>
        <v>4025969.980000007</v>
      </c>
      <c r="Q31" s="176">
        <f>Data!Q167</f>
        <v>4142238.4200000092</v>
      </c>
      <c r="R31" s="176">
        <f>Data!R167</f>
        <v>4021704.7400000077</v>
      </c>
      <c r="S31" s="176">
        <f>Data!S167</f>
        <v>4575873.660000016</v>
      </c>
      <c r="T31" s="176">
        <f>Data!T167</f>
        <v>4471030.9000000125</v>
      </c>
      <c r="U31" s="176">
        <f>Data!U167</f>
        <v>4654030.8600000069</v>
      </c>
      <c r="V31" s="176">
        <f>Data!V167</f>
        <v>4375399.0900000129</v>
      </c>
      <c r="W31" s="176">
        <f>Data!W167</f>
        <v>4392206.6300000092</v>
      </c>
      <c r="X31" s="176">
        <f>Data!X167</f>
        <v>4311182.3399999924</v>
      </c>
      <c r="Y31" s="176">
        <f>Data!Y167</f>
        <v>4362488.2299999902</v>
      </c>
      <c r="Z31" s="176">
        <f>Data!Z167</f>
        <v>4984576.0699999863</v>
      </c>
      <c r="AA31" s="176">
        <f>Data!AA167</f>
        <v>4461740.7500000009</v>
      </c>
      <c r="AB31" s="176">
        <f>Data!AB167</f>
        <v>4709219.6099999994</v>
      </c>
      <c r="AC31" s="176">
        <f>Data!AC167</f>
        <v>4804281.4399999911</v>
      </c>
      <c r="AD31" s="176">
        <f>Data!AD167</f>
        <v>4661068.5199999847</v>
      </c>
      <c r="AE31" s="176">
        <f>Data!AE167</f>
        <v>5070741.000000014</v>
      </c>
      <c r="AF31" s="176">
        <f>Data!AF167</f>
        <v>4885085.5199999968</v>
      </c>
      <c r="AG31" s="176">
        <f>Data!AG167</f>
        <v>5628476.9799999958</v>
      </c>
      <c r="AH31" s="176">
        <f>Data!AH167</f>
        <v>5132941.4099999983</v>
      </c>
      <c r="AI31" s="176">
        <f>Data!AI167</f>
        <v>4612761.2399999928</v>
      </c>
      <c r="AJ31" s="176">
        <f>Data!AJ167</f>
        <v>3478675.1399999922</v>
      </c>
      <c r="AK31" s="176">
        <f>Data!AK167</f>
        <v>1819598.1699999985</v>
      </c>
      <c r="AL31" s="176">
        <f>Data!AL167</f>
        <v>571271.51999999979</v>
      </c>
    </row>
    <row r="32" spans="1:38" x14ac:dyDescent="0.2">
      <c r="A32" s="7" t="s">
        <v>36</v>
      </c>
      <c r="B32" s="7"/>
      <c r="C32" s="176">
        <f>Data!C168</f>
        <v>3366370.1100000045</v>
      </c>
      <c r="D32" s="176">
        <f>Data!D168</f>
        <v>3304253.6600000006</v>
      </c>
      <c r="E32" s="176">
        <f>Data!E168</f>
        <v>3601522.3799999985</v>
      </c>
      <c r="F32" s="176">
        <f>Data!F168</f>
        <v>3657304.6099999989</v>
      </c>
      <c r="G32" s="176">
        <f>Data!G168</f>
        <v>3887161.4899999942</v>
      </c>
      <c r="H32" s="176">
        <f>Data!H168</f>
        <v>4008812.5399999977</v>
      </c>
      <c r="I32" s="176">
        <f>Data!I168</f>
        <v>4136832.6199999978</v>
      </c>
      <c r="J32" s="176">
        <f>Data!J168</f>
        <v>3955360.4099999978</v>
      </c>
      <c r="K32" s="176">
        <f>Data!K168</f>
        <v>3879109.9600000009</v>
      </c>
      <c r="L32" s="176">
        <f>Data!L168</f>
        <v>3539683.2900000042</v>
      </c>
      <c r="M32" s="176">
        <f>Data!M168</f>
        <v>3679951.8400000054</v>
      </c>
      <c r="N32" s="176">
        <f>Data!N168</f>
        <v>4313063.4800000014</v>
      </c>
      <c r="O32" s="176">
        <f>Data!O168</f>
        <v>3940523.1700000078</v>
      </c>
      <c r="P32" s="176">
        <f>Data!P168</f>
        <v>4031467.1100000069</v>
      </c>
      <c r="Q32" s="176">
        <f>Data!Q168</f>
        <v>4143732.5400000094</v>
      </c>
      <c r="R32" s="176">
        <f>Data!R168</f>
        <v>4022961.7500000075</v>
      </c>
      <c r="S32" s="176">
        <f>Data!S168</f>
        <v>4576387.1400000164</v>
      </c>
      <c r="T32" s="176">
        <f>Data!T168</f>
        <v>4471030.9000000125</v>
      </c>
      <c r="U32" s="176">
        <f>Data!U168</f>
        <v>4654030.8600000069</v>
      </c>
      <c r="V32" s="176">
        <f>Data!V168</f>
        <v>4375399.0900000129</v>
      </c>
      <c r="W32" s="176">
        <f>Data!W168</f>
        <v>4392206.6300000092</v>
      </c>
      <c r="X32" s="176">
        <f>Data!X168</f>
        <v>4311182.3399999924</v>
      </c>
      <c r="Y32" s="176">
        <f>Data!Y168</f>
        <v>4362488.2299999902</v>
      </c>
      <c r="Z32" s="176">
        <f>Data!Z168</f>
        <v>4984576.0699999863</v>
      </c>
      <c r="AA32" s="176">
        <f>Data!AA168</f>
        <v>4461740.7500000009</v>
      </c>
      <c r="AB32" s="176">
        <f>Data!AB168</f>
        <v>4709219.6099999994</v>
      </c>
      <c r="AC32" s="176">
        <f>Data!AC168</f>
        <v>4804281.4399999911</v>
      </c>
      <c r="AD32" s="176">
        <f>Data!AD168</f>
        <v>4661068.5199999847</v>
      </c>
      <c r="AE32" s="176">
        <f>Data!AE168</f>
        <v>5070741.000000014</v>
      </c>
      <c r="AF32" s="176">
        <f>Data!AF168</f>
        <v>4885085.5199999968</v>
      </c>
      <c r="AG32" s="176">
        <f>Data!AG168</f>
        <v>5628476.9799999958</v>
      </c>
      <c r="AH32" s="176">
        <f>Data!AH168</f>
        <v>5132941.4099999983</v>
      </c>
      <c r="AI32" s="176">
        <f>Data!AI168</f>
        <v>4612761.2399999928</v>
      </c>
      <c r="AJ32" s="176">
        <f>Data!AJ168</f>
        <v>3478675.1399999922</v>
      </c>
      <c r="AK32" s="176">
        <f>Data!AK168</f>
        <v>1819598.1699999985</v>
      </c>
      <c r="AL32" s="176">
        <f>Data!AL168</f>
        <v>571271.51999999979</v>
      </c>
    </row>
    <row r="33" spans="1:38" x14ac:dyDescent="0.2">
      <c r="A33" s="7" t="s">
        <v>37</v>
      </c>
      <c r="B33" s="7"/>
      <c r="C33" s="176">
        <f>Data!C169</f>
        <v>3367832.0000000047</v>
      </c>
      <c r="D33" s="176">
        <f>Data!D169</f>
        <v>3316217.7900000005</v>
      </c>
      <c r="E33" s="176">
        <f>Data!E169</f>
        <v>3609026.5799999987</v>
      </c>
      <c r="F33" s="176">
        <f>Data!F169</f>
        <v>3659536.7599999988</v>
      </c>
      <c r="G33" s="176">
        <f>Data!G169</f>
        <v>3888063.3699999941</v>
      </c>
      <c r="H33" s="176">
        <f>Data!H169</f>
        <v>4008812.5399999977</v>
      </c>
      <c r="I33" s="176">
        <f>Data!I169</f>
        <v>4137032.6199999978</v>
      </c>
      <c r="J33" s="176">
        <f>Data!J169</f>
        <v>3955360.4099999978</v>
      </c>
      <c r="K33" s="176">
        <f>Data!K169</f>
        <v>3879109.9600000009</v>
      </c>
      <c r="L33" s="176">
        <f>Data!L169</f>
        <v>3545360.6300000041</v>
      </c>
      <c r="M33" s="176">
        <f>Data!M169</f>
        <v>3681032.4300000053</v>
      </c>
      <c r="N33" s="176">
        <f>Data!N169</f>
        <v>4315225.2200000016</v>
      </c>
      <c r="O33" s="176">
        <f>Data!O169</f>
        <v>3948165.0700000077</v>
      </c>
      <c r="P33" s="176">
        <f>Data!P169</f>
        <v>4032961.3300000071</v>
      </c>
      <c r="Q33" s="176">
        <f>Data!Q169</f>
        <v>4144230.9000000092</v>
      </c>
      <c r="R33" s="176">
        <f>Data!R169</f>
        <v>4023769.4900000077</v>
      </c>
      <c r="S33" s="176">
        <f>Data!S169</f>
        <v>4576387.1400000164</v>
      </c>
      <c r="T33" s="176">
        <f>Data!T169</f>
        <v>4471030.9000000125</v>
      </c>
      <c r="U33" s="176">
        <f>Data!U169</f>
        <v>4654030.8600000069</v>
      </c>
      <c r="V33" s="176">
        <f>Data!V169</f>
        <v>4375399.0900000129</v>
      </c>
      <c r="W33" s="176">
        <f>Data!W169</f>
        <v>4392206.6300000092</v>
      </c>
      <c r="X33" s="176">
        <f>Data!X169</f>
        <v>4311182.3399999924</v>
      </c>
      <c r="Y33" s="176">
        <f>Data!Y169</f>
        <v>4362488.2299999902</v>
      </c>
      <c r="Z33" s="176">
        <f>Data!Z169</f>
        <v>4984576.0699999863</v>
      </c>
      <c r="AA33" s="176">
        <f>Data!AA169</f>
        <v>4461740.7500000009</v>
      </c>
      <c r="AB33" s="176">
        <f>Data!AB169</f>
        <v>4709219.6099999994</v>
      </c>
      <c r="AC33" s="176">
        <f>Data!AC169</f>
        <v>4804281.4399999911</v>
      </c>
      <c r="AD33" s="176">
        <f>Data!AD169</f>
        <v>4661068.5199999847</v>
      </c>
      <c r="AE33" s="176">
        <f>Data!AE169</f>
        <v>5070741.000000014</v>
      </c>
      <c r="AF33" s="176">
        <f>Data!AF169</f>
        <v>4885085.5199999968</v>
      </c>
      <c r="AG33" s="176">
        <f>Data!AG169</f>
        <v>5628476.9799999958</v>
      </c>
      <c r="AH33" s="176">
        <f>Data!AH169</f>
        <v>5132941.4099999983</v>
      </c>
      <c r="AI33" s="176">
        <f>Data!AI169</f>
        <v>4612761.2399999928</v>
      </c>
      <c r="AJ33" s="176">
        <f>Data!AJ169</f>
        <v>3478675.1399999922</v>
      </c>
      <c r="AK33" s="176">
        <f>Data!AK169</f>
        <v>1819598.1699999985</v>
      </c>
      <c r="AL33" s="176">
        <f>Data!AL169</f>
        <v>571271.51999999979</v>
      </c>
    </row>
    <row r="34" spans="1:38" x14ac:dyDescent="0.2">
      <c r="A34" s="7" t="s">
        <v>38</v>
      </c>
      <c r="B34" s="7"/>
      <c r="C34" s="176">
        <f>Data!C170</f>
        <v>3371210.0000000047</v>
      </c>
      <c r="D34" s="176">
        <f>Data!D170</f>
        <v>3334069.2800000007</v>
      </c>
      <c r="E34" s="176">
        <f>Data!E170</f>
        <v>3610162.5499999989</v>
      </c>
      <c r="F34" s="176">
        <f>Data!F170</f>
        <v>3667009.5899999989</v>
      </c>
      <c r="G34" s="176">
        <f>Data!G170</f>
        <v>3888099.5099999942</v>
      </c>
      <c r="H34" s="176">
        <f>Data!H170</f>
        <v>4009045.6099999975</v>
      </c>
      <c r="I34" s="176">
        <f>Data!I170</f>
        <v>4141829.319999998</v>
      </c>
      <c r="J34" s="176">
        <f>Data!J170</f>
        <v>3955360.4099999978</v>
      </c>
      <c r="K34" s="176">
        <f>Data!K170</f>
        <v>3881876.6600000011</v>
      </c>
      <c r="L34" s="176">
        <f>Data!L170</f>
        <v>3545671.800000004</v>
      </c>
      <c r="M34" s="176">
        <f>Data!M170</f>
        <v>3682112.4400000051</v>
      </c>
      <c r="N34" s="176">
        <f>Data!N170</f>
        <v>4323047.0400000019</v>
      </c>
      <c r="O34" s="176">
        <f>Data!O170</f>
        <v>3948744.8400000078</v>
      </c>
      <c r="P34" s="176">
        <f>Data!P170</f>
        <v>4033103.6400000071</v>
      </c>
      <c r="Q34" s="176">
        <f>Data!Q170</f>
        <v>4145111.1000000094</v>
      </c>
      <c r="R34" s="176">
        <f>Data!R170</f>
        <v>4023769.4900000077</v>
      </c>
      <c r="S34" s="176">
        <f>Data!S170</f>
        <v>4576387.1400000164</v>
      </c>
      <c r="T34" s="176">
        <f>Data!T170</f>
        <v>4471030.9000000125</v>
      </c>
      <c r="U34" s="176">
        <f>Data!U170</f>
        <v>4654030.8600000069</v>
      </c>
      <c r="V34" s="176">
        <f>Data!V170</f>
        <v>4375399.0900000129</v>
      </c>
      <c r="W34" s="176">
        <f>Data!W170</f>
        <v>4392206.6300000092</v>
      </c>
      <c r="X34" s="176">
        <f>Data!X170</f>
        <v>4311182.3399999924</v>
      </c>
      <c r="Y34" s="176">
        <f>Data!Y170</f>
        <v>4362488.2299999902</v>
      </c>
      <c r="Z34" s="176">
        <f>Data!Z170</f>
        <v>4984576.0699999863</v>
      </c>
      <c r="AA34" s="176">
        <f>Data!AA170</f>
        <v>4461740.7500000009</v>
      </c>
      <c r="AB34" s="176">
        <f>Data!AB170</f>
        <v>4709219.6099999994</v>
      </c>
      <c r="AC34" s="176">
        <f>Data!AC170</f>
        <v>4804281.4399999911</v>
      </c>
      <c r="AD34" s="176">
        <f>Data!AD170</f>
        <v>4661068.5199999847</v>
      </c>
      <c r="AE34" s="176">
        <f>Data!AE170</f>
        <v>5070741.000000014</v>
      </c>
      <c r="AF34" s="176">
        <f>Data!AF170</f>
        <v>4885085.5199999968</v>
      </c>
      <c r="AG34" s="176">
        <f>Data!AG170</f>
        <v>5628476.9799999958</v>
      </c>
      <c r="AH34" s="176">
        <f>Data!AH170</f>
        <v>5132941.4099999983</v>
      </c>
      <c r="AI34" s="176">
        <f>Data!AI170</f>
        <v>4612761.2399999928</v>
      </c>
      <c r="AJ34" s="176">
        <f>Data!AJ170</f>
        <v>3478675.1399999922</v>
      </c>
      <c r="AK34" s="176">
        <f>Data!AK170</f>
        <v>1819598.1699999985</v>
      </c>
      <c r="AL34" s="176">
        <f>Data!AL170</f>
        <v>571271.51999999979</v>
      </c>
    </row>
    <row r="35" spans="1:38" x14ac:dyDescent="0.2">
      <c r="A35" s="7" t="s">
        <v>39</v>
      </c>
      <c r="B35" s="7"/>
      <c r="C35" s="176">
        <f>Data!C171</f>
        <v>3372816.2000000048</v>
      </c>
      <c r="D35" s="176">
        <f>Data!D171</f>
        <v>3334195.0600000005</v>
      </c>
      <c r="E35" s="176">
        <f>Data!E171</f>
        <v>3617212.7899999991</v>
      </c>
      <c r="F35" s="176">
        <f>Data!F171</f>
        <v>3667009.5899999989</v>
      </c>
      <c r="G35" s="176">
        <f>Data!G171</f>
        <v>3888399.5099999942</v>
      </c>
      <c r="H35" s="176">
        <f>Data!H171</f>
        <v>4009249.6099999975</v>
      </c>
      <c r="I35" s="176">
        <f>Data!I171</f>
        <v>4142122.9199999981</v>
      </c>
      <c r="J35" s="176">
        <f>Data!J171</f>
        <v>3956067.8099999977</v>
      </c>
      <c r="K35" s="176">
        <f>Data!K171</f>
        <v>3881876.6600000011</v>
      </c>
      <c r="L35" s="176">
        <f>Data!L171</f>
        <v>3547667.6000000038</v>
      </c>
      <c r="M35" s="176">
        <f>Data!M171</f>
        <v>3682212.4400000051</v>
      </c>
      <c r="N35" s="176">
        <f>Data!N171</f>
        <v>4327959.0700000022</v>
      </c>
      <c r="O35" s="176">
        <f>Data!O171</f>
        <v>3950222.1900000079</v>
      </c>
      <c r="P35" s="176">
        <f>Data!P171</f>
        <v>4033103.6400000071</v>
      </c>
      <c r="Q35" s="176">
        <f>Data!Q171</f>
        <v>4145111.1000000094</v>
      </c>
      <c r="R35" s="176">
        <f>Data!R171</f>
        <v>4023769.4900000077</v>
      </c>
      <c r="S35" s="176">
        <f>Data!S171</f>
        <v>4576387.1400000164</v>
      </c>
      <c r="T35" s="176">
        <f>Data!T171</f>
        <v>4471030.9000000125</v>
      </c>
      <c r="U35" s="176">
        <f>Data!U171</f>
        <v>4654030.8600000069</v>
      </c>
      <c r="V35" s="176">
        <f>Data!V171</f>
        <v>4375399.0900000129</v>
      </c>
      <c r="W35" s="176">
        <f>Data!W171</f>
        <v>4392206.6300000092</v>
      </c>
      <c r="X35" s="176">
        <f>Data!X171</f>
        <v>4311182.3399999924</v>
      </c>
      <c r="Y35" s="176">
        <f>Data!Y171</f>
        <v>4362488.2299999902</v>
      </c>
      <c r="Z35" s="176">
        <f>Data!Z171</f>
        <v>4984576.0699999863</v>
      </c>
      <c r="AA35" s="176">
        <f>Data!AA171</f>
        <v>4461740.7500000009</v>
      </c>
      <c r="AB35" s="176">
        <f>Data!AB171</f>
        <v>4709219.6099999994</v>
      </c>
      <c r="AC35" s="176">
        <f>Data!AC171</f>
        <v>4804281.4399999911</v>
      </c>
      <c r="AD35" s="176">
        <f>Data!AD171</f>
        <v>4661068.5199999847</v>
      </c>
      <c r="AE35" s="176">
        <f>Data!AE171</f>
        <v>5070741.000000014</v>
      </c>
      <c r="AF35" s="176">
        <f>Data!AF171</f>
        <v>4885085.5199999968</v>
      </c>
      <c r="AG35" s="176">
        <f>Data!AG171</f>
        <v>5628476.9799999958</v>
      </c>
      <c r="AH35" s="176">
        <f>Data!AH171</f>
        <v>5132941.4099999983</v>
      </c>
      <c r="AI35" s="176">
        <f>Data!AI171</f>
        <v>4612761.2399999928</v>
      </c>
      <c r="AJ35" s="176">
        <f>Data!AJ171</f>
        <v>3478675.1399999922</v>
      </c>
      <c r="AK35" s="176">
        <f>Data!AK171</f>
        <v>1819598.1699999985</v>
      </c>
      <c r="AL35" s="176">
        <f>Data!AL171</f>
        <v>571271.51999999979</v>
      </c>
    </row>
    <row r="36" spans="1:38" x14ac:dyDescent="0.2">
      <c r="A36" s="7" t="s">
        <v>40</v>
      </c>
      <c r="B36" s="7"/>
      <c r="C36" s="176">
        <f>Data!C172</f>
        <v>3373016.2000000048</v>
      </c>
      <c r="D36" s="176">
        <f>Data!D172</f>
        <v>3341826.5300000007</v>
      </c>
      <c r="E36" s="176">
        <f>Data!E172</f>
        <v>3623125.3299999991</v>
      </c>
      <c r="F36" s="176">
        <f>Data!F172</f>
        <v>3667309.5899999989</v>
      </c>
      <c r="G36" s="176">
        <f>Data!G172</f>
        <v>3893246.1799999941</v>
      </c>
      <c r="H36" s="176">
        <f>Data!H172</f>
        <v>4009302.6699999976</v>
      </c>
      <c r="I36" s="176">
        <f>Data!I172</f>
        <v>4142326.4599999981</v>
      </c>
      <c r="J36" s="176">
        <f>Data!J172</f>
        <v>3956067.8099999977</v>
      </c>
      <c r="K36" s="176">
        <f>Data!K172</f>
        <v>3884164.620000001</v>
      </c>
      <c r="L36" s="176">
        <f>Data!L172</f>
        <v>3548102.070000004</v>
      </c>
      <c r="M36" s="176">
        <f>Data!M172</f>
        <v>3687888.880000005</v>
      </c>
      <c r="N36" s="176">
        <f>Data!N172</f>
        <v>4328926.950000002</v>
      </c>
      <c r="O36" s="176">
        <f>Data!O172</f>
        <v>3950978.1900000079</v>
      </c>
      <c r="P36" s="176">
        <f>Data!P172</f>
        <v>4033103.6400000071</v>
      </c>
      <c r="Q36" s="176">
        <f>Data!Q172</f>
        <v>4145111.1000000094</v>
      </c>
      <c r="R36" s="176">
        <f>Data!R172</f>
        <v>4023769.4900000077</v>
      </c>
      <c r="S36" s="176">
        <f>Data!S172</f>
        <v>4576387.1400000164</v>
      </c>
      <c r="T36" s="176">
        <f>Data!T172</f>
        <v>4471030.9000000125</v>
      </c>
      <c r="U36" s="176">
        <f>Data!U172</f>
        <v>4654030.8600000069</v>
      </c>
      <c r="V36" s="176">
        <f>Data!V172</f>
        <v>4375399.0900000129</v>
      </c>
      <c r="W36" s="176">
        <f>Data!W172</f>
        <v>4392206.6300000092</v>
      </c>
      <c r="X36" s="176">
        <f>Data!X172</f>
        <v>4311182.3399999924</v>
      </c>
      <c r="Y36" s="176">
        <f>Data!Y172</f>
        <v>4362488.2299999902</v>
      </c>
      <c r="Z36" s="176">
        <f>Data!Z172</f>
        <v>4984576.0699999863</v>
      </c>
      <c r="AA36" s="176">
        <f>Data!AA172</f>
        <v>4461740.7500000009</v>
      </c>
      <c r="AB36" s="176">
        <f>Data!AB172</f>
        <v>4709219.6099999994</v>
      </c>
      <c r="AC36" s="176">
        <f>Data!AC172</f>
        <v>4804281.4399999911</v>
      </c>
      <c r="AD36" s="176">
        <f>Data!AD172</f>
        <v>4661068.5199999847</v>
      </c>
      <c r="AE36" s="176">
        <f>Data!AE172</f>
        <v>5070741.000000014</v>
      </c>
      <c r="AF36" s="176">
        <f>Data!AF172</f>
        <v>4885085.5199999968</v>
      </c>
      <c r="AG36" s="176">
        <f>Data!AG172</f>
        <v>5628476.9799999958</v>
      </c>
      <c r="AH36" s="176">
        <f>Data!AH172</f>
        <v>5132941.4099999983</v>
      </c>
      <c r="AI36" s="176">
        <f>Data!AI172</f>
        <v>4612761.2399999928</v>
      </c>
      <c r="AJ36" s="176">
        <f>Data!AJ172</f>
        <v>3478675.1399999922</v>
      </c>
      <c r="AK36" s="176">
        <f>Data!AK172</f>
        <v>1819598.1699999985</v>
      </c>
      <c r="AL36" s="176">
        <f>Data!AL172</f>
        <v>571271.51999999979</v>
      </c>
    </row>
    <row r="38" spans="1:38" x14ac:dyDescent="0.2">
      <c r="A38" s="249" t="s">
        <v>196</v>
      </c>
      <c r="C38" s="500">
        <f t="shared" ref="C38:S38" si="0">+C36</f>
        <v>3373016.2000000048</v>
      </c>
      <c r="D38" s="500">
        <f t="shared" si="0"/>
        <v>3341826.5300000007</v>
      </c>
      <c r="E38" s="500">
        <f t="shared" si="0"/>
        <v>3623125.3299999991</v>
      </c>
      <c r="F38" s="500">
        <f t="shared" si="0"/>
        <v>3667309.5899999989</v>
      </c>
      <c r="G38" s="500">
        <f t="shared" si="0"/>
        <v>3893246.1799999941</v>
      </c>
      <c r="H38" s="500">
        <f t="shared" si="0"/>
        <v>4009302.6699999976</v>
      </c>
      <c r="I38" s="500">
        <f t="shared" si="0"/>
        <v>4142326.4599999981</v>
      </c>
      <c r="J38" s="500">
        <f t="shared" si="0"/>
        <v>3956067.8099999977</v>
      </c>
      <c r="K38" s="500">
        <f t="shared" si="0"/>
        <v>3884164.620000001</v>
      </c>
      <c r="L38" s="500">
        <f t="shared" si="0"/>
        <v>3548102.070000004</v>
      </c>
      <c r="M38" s="500">
        <f t="shared" si="0"/>
        <v>3687888.880000005</v>
      </c>
      <c r="N38" s="500">
        <f t="shared" si="0"/>
        <v>4328926.950000002</v>
      </c>
      <c r="O38" s="500">
        <f t="shared" si="0"/>
        <v>3950978.1900000079</v>
      </c>
      <c r="P38" s="500">
        <f t="shared" si="0"/>
        <v>4033103.6400000071</v>
      </c>
      <c r="Q38" s="500">
        <f t="shared" si="0"/>
        <v>4145111.1000000094</v>
      </c>
      <c r="R38" s="500">
        <f t="shared" si="0"/>
        <v>4023769.4900000077</v>
      </c>
      <c r="S38" s="500">
        <f t="shared" si="0"/>
        <v>4576387.1400000164</v>
      </c>
      <c r="T38" s="500">
        <f>+T36</f>
        <v>4471030.9000000125</v>
      </c>
      <c r="U38" s="499">
        <f>Final!C28</f>
        <v>4688230.1524083707</v>
      </c>
      <c r="V38" s="499">
        <f>Final!C27</f>
        <v>4411169.1811832916</v>
      </c>
      <c r="W38" s="499">
        <f>Final!C26</f>
        <v>4430972.5732161999</v>
      </c>
      <c r="X38" s="499">
        <f>Final!C25</f>
        <v>4355041.134541112</v>
      </c>
      <c r="Y38" s="499">
        <f>Final!C24</f>
        <v>4416080.295621125</v>
      </c>
      <c r="Z38" s="499">
        <f>Final!C23</f>
        <v>5057934.6507786037</v>
      </c>
      <c r="AA38" s="499">
        <f ca="1">Final!C22</f>
        <v>4539169</v>
      </c>
      <c r="AB38" s="499">
        <f ca="1">Final!C21</f>
        <v>4806629</v>
      </c>
      <c r="AC38" s="499">
        <f ca="1">Final!C20</f>
        <v>4923140</v>
      </c>
      <c r="AD38" s="499">
        <f ca="1">Final!C19</f>
        <v>4798564</v>
      </c>
      <c r="AE38" s="499">
        <f ca="1">Final!C18</f>
        <v>5248822</v>
      </c>
      <c r="AF38" s="499">
        <f ca="1">Final!C17</f>
        <v>5090386</v>
      </c>
      <c r="AG38" s="499">
        <f ca="1">Final!C16</f>
        <v>5904777</v>
      </c>
      <c r="AH38" s="499">
        <f ca="1">Final!C15</f>
        <v>5424930</v>
      </c>
      <c r="AI38" s="499">
        <f ca="1">Final!C14</f>
        <v>4990961</v>
      </c>
      <c r="AJ38" s="499">
        <f ca="1">Final!C13</f>
        <v>4129716</v>
      </c>
      <c r="AK38" s="499">
        <f ca="1">Final!C12</f>
        <v>3859655</v>
      </c>
      <c r="AL38" s="499">
        <f ca="1">Final!C11</f>
        <v>4467229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3373016.2000000048</v>
      </c>
      <c r="D41" s="176">
        <f t="shared" ref="D41:AC41" si="2">+D38</f>
        <v>3341826.5300000007</v>
      </c>
      <c r="E41" s="176">
        <f t="shared" si="2"/>
        <v>3623125.3299999991</v>
      </c>
      <c r="F41" s="176">
        <f t="shared" si="2"/>
        <v>3667309.5899999989</v>
      </c>
      <c r="G41" s="176">
        <f t="shared" si="2"/>
        <v>3893246.1799999941</v>
      </c>
      <c r="H41" s="176">
        <f t="shared" si="2"/>
        <v>4009302.6699999976</v>
      </c>
      <c r="I41" s="176">
        <f t="shared" si="2"/>
        <v>4142326.4599999981</v>
      </c>
      <c r="J41" s="176">
        <f t="shared" si="2"/>
        <v>3956067.8099999977</v>
      </c>
      <c r="K41" s="176">
        <f t="shared" si="2"/>
        <v>3884164.620000001</v>
      </c>
      <c r="L41" s="176">
        <f t="shared" si="2"/>
        <v>3548102.070000004</v>
      </c>
      <c r="M41" s="176">
        <f t="shared" si="2"/>
        <v>3687888.880000005</v>
      </c>
      <c r="N41" s="176">
        <f t="shared" si="2"/>
        <v>4328926.950000002</v>
      </c>
      <c r="O41" s="176">
        <f t="shared" si="2"/>
        <v>3950978.1900000079</v>
      </c>
      <c r="P41" s="176">
        <f t="shared" si="2"/>
        <v>4033103.6400000071</v>
      </c>
      <c r="Q41" s="176">
        <f t="shared" si="2"/>
        <v>4145111.1000000094</v>
      </c>
      <c r="R41" s="176">
        <f t="shared" si="2"/>
        <v>4023769.4900000077</v>
      </c>
      <c r="S41" s="176">
        <f t="shared" si="2"/>
        <v>4576387.1400000164</v>
      </c>
      <c r="T41" s="176">
        <f t="shared" si="2"/>
        <v>4471030.9000000125</v>
      </c>
      <c r="U41" s="176">
        <f t="shared" si="2"/>
        <v>4688230.1524083707</v>
      </c>
      <c r="V41" s="176">
        <f t="shared" si="2"/>
        <v>4411169.1811832916</v>
      </c>
      <c r="W41" s="176">
        <f t="shared" si="2"/>
        <v>4430972.5732161999</v>
      </c>
      <c r="X41" s="176">
        <f t="shared" si="2"/>
        <v>4355041.134541112</v>
      </c>
      <c r="Y41" s="176">
        <f t="shared" si="2"/>
        <v>4416080.295621125</v>
      </c>
      <c r="Z41" s="176">
        <f t="shared" si="2"/>
        <v>5057934.6507786037</v>
      </c>
      <c r="AA41" s="176">
        <f t="shared" ca="1" si="2"/>
        <v>4539169</v>
      </c>
      <c r="AB41" s="176">
        <f t="shared" ca="1" si="2"/>
        <v>4806629</v>
      </c>
      <c r="AC41" s="176">
        <f t="shared" ca="1" si="2"/>
        <v>4923140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0.66949969123044595</v>
      </c>
      <c r="C47" s="508">
        <f>Data!AW8</f>
        <v>0.18712228308054071</v>
      </c>
      <c r="D47" s="508">
        <f>Data!AX8</f>
        <v>0.18314647642119239</v>
      </c>
      <c r="E47" s="508">
        <f>Data!AY8</f>
        <v>0.18411043919926251</v>
      </c>
      <c r="F47" s="508">
        <f>Data!AZ8</f>
        <v>0.18394009811207335</v>
      </c>
      <c r="G47" s="508">
        <f>Data!BA8</f>
        <v>0.18426365903786027</v>
      </c>
      <c r="H47" s="508">
        <f>Data!BB8</f>
        <v>0.18380667983013518</v>
      </c>
      <c r="I47" s="192"/>
      <c r="J47" s="192"/>
      <c r="K47" s="508">
        <f>Data!BE8</f>
        <v>0.18712228308054071</v>
      </c>
      <c r="L47" s="508">
        <f>Data!BF8</f>
        <v>0.18314647642119233</v>
      </c>
      <c r="M47" s="508">
        <f>Data!BG8</f>
        <v>0.18411043919926251</v>
      </c>
      <c r="N47" s="508">
        <f>Data!BH8</f>
        <v>0.18394009811207335</v>
      </c>
      <c r="O47" s="508">
        <f>Data!BI8</f>
        <v>0.18426365903786027</v>
      </c>
      <c r="P47" s="508">
        <f>Data!BJ8</f>
        <v>0.18380667983013521</v>
      </c>
    </row>
    <row r="48" spans="1:38" x14ac:dyDescent="0.2">
      <c r="A48" s="7" t="s">
        <v>18</v>
      </c>
      <c r="B48" s="511">
        <f t="shared" ref="B48:B70" ca="1" si="3">CORREL(C$41:AC$41,C14:AC14)</f>
        <v>0.89931995686413391</v>
      </c>
      <c r="C48" s="508">
        <f>Data!AW9</f>
        <v>0.62128215577858903</v>
      </c>
      <c r="D48" s="508">
        <f>Data!AX9</f>
        <v>0.64704436033936741</v>
      </c>
      <c r="E48" s="508">
        <f>Data!AY9</f>
        <v>0.66653667750100787</v>
      </c>
      <c r="F48" s="508">
        <f>Data!AZ9</f>
        <v>0.6341227100740372</v>
      </c>
      <c r="G48" s="508">
        <f>Data!BA9</f>
        <v>0.66283687474186226</v>
      </c>
      <c r="H48" s="508">
        <f>Data!BB9</f>
        <v>0.67370436252184629</v>
      </c>
      <c r="I48" s="192"/>
      <c r="J48" s="192"/>
      <c r="K48" s="508">
        <f>Data!BE9</f>
        <v>0.62128215577858903</v>
      </c>
      <c r="L48" s="508">
        <f>Data!BF9</f>
        <v>0.64704436033936719</v>
      </c>
      <c r="M48" s="508">
        <f>Data!BG9</f>
        <v>0.66653667750100787</v>
      </c>
      <c r="N48" s="508">
        <f>Data!BH9</f>
        <v>0.6341227100740372</v>
      </c>
      <c r="O48" s="508">
        <f>Data!BI9</f>
        <v>0.66283687474186226</v>
      </c>
      <c r="P48" s="508">
        <f>Data!BJ9</f>
        <v>0.6737043625218464</v>
      </c>
    </row>
    <row r="49" spans="1:16" x14ac:dyDescent="0.2">
      <c r="A49" s="7" t="s">
        <v>19</v>
      </c>
      <c r="B49" s="511">
        <f t="shared" ca="1" si="3"/>
        <v>0.96089826934650602</v>
      </c>
      <c r="C49" s="508">
        <f>Data!AW10</f>
        <v>0.85924411067638606</v>
      </c>
      <c r="D49" s="508">
        <f>Data!AX10</f>
        <v>0.86030263182158717</v>
      </c>
      <c r="E49" s="508">
        <f>Data!AY10</f>
        <v>0.86723044385625625</v>
      </c>
      <c r="F49" s="508">
        <f>Data!AZ10</f>
        <v>0.82155703006404168</v>
      </c>
      <c r="G49" s="508">
        <f>Data!BA10</f>
        <v>0.86314418081085598</v>
      </c>
      <c r="H49" s="508">
        <f>Data!BB10</f>
        <v>0.87028286804875155</v>
      </c>
      <c r="I49" s="192"/>
      <c r="J49" s="192"/>
      <c r="K49" s="508">
        <f>Data!BE10</f>
        <v>0.85924411067638606</v>
      </c>
      <c r="L49" s="508">
        <f>Data!BF10</f>
        <v>0.86030263182158695</v>
      </c>
      <c r="M49" s="508">
        <f>Data!BG10</f>
        <v>0.86723044385625636</v>
      </c>
      <c r="N49" s="508">
        <f>Data!BH10</f>
        <v>0.82155703006404179</v>
      </c>
      <c r="O49" s="508">
        <f>Data!BI10</f>
        <v>0.86314418081085598</v>
      </c>
      <c r="P49" s="508">
        <f>Data!BJ10</f>
        <v>0.87028286804875166</v>
      </c>
    </row>
    <row r="50" spans="1:16" x14ac:dyDescent="0.2">
      <c r="A50" s="7" t="s">
        <v>20</v>
      </c>
      <c r="B50" s="511">
        <f t="shared" ca="1" si="3"/>
        <v>0.98114585467781357</v>
      </c>
      <c r="C50" s="508">
        <f>Data!AW11</f>
        <v>0.92002832729817041</v>
      </c>
      <c r="D50" s="508">
        <f>Data!AX11</f>
        <v>0.92422314317391896</v>
      </c>
      <c r="E50" s="508">
        <f>Data!AY11</f>
        <v>0.92704466688224663</v>
      </c>
      <c r="F50" s="508">
        <f>Data!AZ11</f>
        <v>0.8954392849361742</v>
      </c>
      <c r="G50" s="508">
        <f>Data!BA11</f>
        <v>0.92894078522060308</v>
      </c>
      <c r="H50" s="508">
        <f>Data!BB11</f>
        <v>0.93041684822830339</v>
      </c>
      <c r="I50" s="192"/>
      <c r="J50" s="192"/>
      <c r="K50" s="508">
        <f>Data!BE11</f>
        <v>0.92002832729817041</v>
      </c>
      <c r="L50" s="508">
        <f>Data!BF11</f>
        <v>0.92422314317391874</v>
      </c>
      <c r="M50" s="508">
        <f>Data!BG11</f>
        <v>0.92704466688224674</v>
      </c>
      <c r="N50" s="508">
        <f>Data!BH11</f>
        <v>0.89543928493617431</v>
      </c>
      <c r="O50" s="508">
        <f>Data!BI11</f>
        <v>0.92894078522060308</v>
      </c>
      <c r="P50" s="508">
        <f>Data!BJ11</f>
        <v>0.93041684822830351</v>
      </c>
    </row>
    <row r="51" spans="1:16" x14ac:dyDescent="0.2">
      <c r="A51" s="7" t="s">
        <v>21</v>
      </c>
      <c r="B51" s="511">
        <f t="shared" ca="1" si="3"/>
        <v>0.98892402454747386</v>
      </c>
      <c r="C51" s="508">
        <f>Data!AW12</f>
        <v>0.94374169839118216</v>
      </c>
      <c r="D51" s="508">
        <f>Data!AX12</f>
        <v>0.9461765251161306</v>
      </c>
      <c r="E51" s="508">
        <f>Data!AY12</f>
        <v>0.9465889990995926</v>
      </c>
      <c r="F51" s="508">
        <f>Data!AZ12</f>
        <v>0.92566551582853052</v>
      </c>
      <c r="G51" s="508">
        <f>Data!BA12</f>
        <v>0.95197854651252267</v>
      </c>
      <c r="H51" s="508">
        <f>Data!BB12</f>
        <v>0.95024245116176265</v>
      </c>
      <c r="I51" s="192"/>
      <c r="J51" s="192"/>
      <c r="K51" s="508">
        <f>Data!BE12</f>
        <v>0.94374169839118216</v>
      </c>
      <c r="L51" s="508">
        <f>Data!BF12</f>
        <v>0.94617652511613037</v>
      </c>
      <c r="M51" s="508">
        <f>Data!BG12</f>
        <v>0.94658899909959271</v>
      </c>
      <c r="N51" s="508">
        <f>Data!BH12</f>
        <v>0.92566551582853063</v>
      </c>
      <c r="O51" s="508">
        <f>Data!BI12</f>
        <v>0.95197854651252267</v>
      </c>
      <c r="P51" s="508">
        <f>Data!BJ12</f>
        <v>0.95024245116176276</v>
      </c>
    </row>
    <row r="52" spans="1:16" x14ac:dyDescent="0.2">
      <c r="A52" s="7" t="s">
        <v>22</v>
      </c>
      <c r="B52" s="511">
        <f t="shared" ca="1" si="3"/>
        <v>0.99442947100367773</v>
      </c>
      <c r="C52" s="508">
        <f>Data!AW13</f>
        <v>0.95052475165636952</v>
      </c>
      <c r="D52" s="508">
        <f>Data!AX13</f>
        <v>0.95320743226422966</v>
      </c>
      <c r="E52" s="508">
        <f>Data!AY13</f>
        <v>0.9537112389836917</v>
      </c>
      <c r="F52" s="508">
        <f>Data!AZ13</f>
        <v>0.93992390439053208</v>
      </c>
      <c r="G52" s="508">
        <f>Data!BA13</f>
        <v>0.95894812654782391</v>
      </c>
      <c r="H52" s="508">
        <f>Data!BB13</f>
        <v>0.95725967042590221</v>
      </c>
      <c r="I52" s="192"/>
      <c r="J52" s="192"/>
      <c r="K52" s="508">
        <f>Data!BE13</f>
        <v>0.95052475165636952</v>
      </c>
      <c r="L52" s="508">
        <f>Data!BF13</f>
        <v>0.95320743226422944</v>
      </c>
      <c r="M52" s="508">
        <f>Data!BG13</f>
        <v>0.95392544727521877</v>
      </c>
      <c r="N52" s="508">
        <f>Data!BH13</f>
        <v>0.93992390439053219</v>
      </c>
      <c r="O52" s="508">
        <f>Data!BI13</f>
        <v>0.95894812654782391</v>
      </c>
      <c r="P52" s="508">
        <f>Data!BJ13</f>
        <v>0.95725967042590232</v>
      </c>
    </row>
    <row r="53" spans="1:16" x14ac:dyDescent="0.2">
      <c r="A53" s="7" t="s">
        <v>23</v>
      </c>
      <c r="B53" s="511">
        <f t="shared" ca="1" si="3"/>
        <v>0.99624249574903878</v>
      </c>
      <c r="C53" s="508">
        <f>Data!AW14</f>
        <v>0.95697048412543828</v>
      </c>
      <c r="D53" s="508">
        <f>Data!AX14</f>
        <v>0.95966901885398148</v>
      </c>
      <c r="E53" s="508">
        <f>Data!AY14</f>
        <v>0.96110288740340877</v>
      </c>
      <c r="F53" s="508">
        <f>Data!AZ14</f>
        <v>0.94878242864628126</v>
      </c>
      <c r="G53" s="508">
        <f>Data!BA14</f>
        <v>0.96510644208151386</v>
      </c>
      <c r="H53" s="508">
        <f>Data!BB14</f>
        <v>0.96420977627190563</v>
      </c>
      <c r="I53" s="192"/>
      <c r="J53" s="192"/>
      <c r="K53" s="508">
        <f>Data!BE14</f>
        <v>0.95697048412543828</v>
      </c>
      <c r="L53" s="508">
        <f>Data!BF14</f>
        <v>0.95966901885398126</v>
      </c>
      <c r="M53" s="508">
        <f>Data!BG14</f>
        <v>0.96110288740340888</v>
      </c>
      <c r="N53" s="508">
        <f>Data!BH14</f>
        <v>0.94878242864628137</v>
      </c>
      <c r="O53" s="508">
        <f>Data!BI14</f>
        <v>0.96510686122692058</v>
      </c>
      <c r="P53" s="508">
        <f>Data!BJ14</f>
        <v>0.96420977627190574</v>
      </c>
    </row>
    <row r="54" spans="1:16" x14ac:dyDescent="0.2">
      <c r="A54" s="7" t="s">
        <v>24</v>
      </c>
      <c r="B54" s="511">
        <f t="shared" ca="1" si="3"/>
        <v>0.99744188796227762</v>
      </c>
      <c r="C54" s="508">
        <f>Data!AW15</f>
        <v>0.96338965037125657</v>
      </c>
      <c r="D54" s="508">
        <f>Data!AX15</f>
        <v>0.96607216938916862</v>
      </c>
      <c r="E54" s="508">
        <f>Data!AY15</f>
        <v>0.96722497018109532</v>
      </c>
      <c r="F54" s="508">
        <f>Data!AZ15</f>
        <v>0.95677546360043197</v>
      </c>
      <c r="G54" s="508">
        <f>Data!BA15</f>
        <v>0.97130472783787125</v>
      </c>
      <c r="H54" s="508">
        <f>Data!BB15</f>
        <v>0.97041354804821212</v>
      </c>
      <c r="I54" s="192"/>
      <c r="J54" s="192"/>
      <c r="K54" s="508">
        <f>Data!BE15</f>
        <v>0.96338965037125657</v>
      </c>
      <c r="L54" s="508">
        <f>Data!BF15</f>
        <v>0.9660721693891684</v>
      </c>
      <c r="M54" s="508">
        <f>Data!BG15</f>
        <v>0.96722497018109543</v>
      </c>
      <c r="N54" s="508">
        <f>Data!BH15</f>
        <v>0.95677546360043209</v>
      </c>
      <c r="O54" s="508">
        <f>Data!BI15</f>
        <v>0.97130472783787125</v>
      </c>
      <c r="P54" s="508">
        <f>Data!BJ15</f>
        <v>0.97041354804821223</v>
      </c>
    </row>
    <row r="55" spans="1:16" x14ac:dyDescent="0.2">
      <c r="A55" s="7" t="s">
        <v>25</v>
      </c>
      <c r="B55" s="511">
        <f t="shared" ca="1" si="3"/>
        <v>0.99760910671451886</v>
      </c>
      <c r="C55" s="508">
        <f>Data!AW16</f>
        <v>0.96925958162072556</v>
      </c>
      <c r="D55" s="508">
        <f>Data!AX16</f>
        <v>0.9713465065989646</v>
      </c>
      <c r="E55" s="508">
        <f>Data!AY16</f>
        <v>0.9722013057641864</v>
      </c>
      <c r="F55" s="508">
        <f>Data!AZ16</f>
        <v>0.96296588117227178</v>
      </c>
      <c r="G55" s="508">
        <f>Data!BA16</f>
        <v>0.97614238326391334</v>
      </c>
      <c r="H55" s="508">
        <f>Data!BB16</f>
        <v>0.9751594094397521</v>
      </c>
      <c r="I55" s="192"/>
      <c r="J55" s="192"/>
      <c r="K55" s="508">
        <f>Data!BE16</f>
        <v>0.96925958162072556</v>
      </c>
      <c r="L55" s="508">
        <f>Data!BF16</f>
        <v>0.97134650659896438</v>
      </c>
      <c r="M55" s="508">
        <f>Data!BG16</f>
        <v>0.97220130576418651</v>
      </c>
      <c r="N55" s="508">
        <f>Data!BH16</f>
        <v>0.96296588117227189</v>
      </c>
      <c r="O55" s="508">
        <f>Data!BI16</f>
        <v>0.97614238326391334</v>
      </c>
      <c r="P55" s="508">
        <f>Data!BJ16</f>
        <v>0.97515940943975221</v>
      </c>
    </row>
    <row r="56" spans="1:16" x14ac:dyDescent="0.2">
      <c r="A56" s="7" t="s">
        <v>26</v>
      </c>
      <c r="B56" s="511">
        <f t="shared" ca="1" si="3"/>
        <v>0.99780421456872526</v>
      </c>
      <c r="C56" s="508">
        <f>Data!AW17</f>
        <v>0.97492486163866798</v>
      </c>
      <c r="D56" s="508">
        <f>Data!AX17</f>
        <v>0.97585716712579107</v>
      </c>
      <c r="E56" s="508">
        <f>Data!AY17</f>
        <v>0.97611358624165678</v>
      </c>
      <c r="F56" s="508">
        <f>Data!AZ17</f>
        <v>0.96781139785063397</v>
      </c>
      <c r="G56" s="508">
        <f>Data!BA17</f>
        <v>0.98062372168353806</v>
      </c>
      <c r="H56" s="508">
        <f>Data!BB17</f>
        <v>0.97903304048193573</v>
      </c>
      <c r="I56" s="192"/>
      <c r="J56" s="192"/>
      <c r="K56" s="508">
        <f>Data!BE17</f>
        <v>0.97492486163866798</v>
      </c>
      <c r="L56" s="508">
        <f>Data!BF17</f>
        <v>0.97585716712579085</v>
      </c>
      <c r="M56" s="508">
        <f>Data!BG17</f>
        <v>0.97611358624165689</v>
      </c>
      <c r="N56" s="508">
        <f>Data!BH17</f>
        <v>0.96781139785063408</v>
      </c>
      <c r="O56" s="508">
        <f>Data!BI17</f>
        <v>0.98062372168353806</v>
      </c>
      <c r="P56" s="508">
        <f>Data!BJ17</f>
        <v>0.97903304048193585</v>
      </c>
    </row>
    <row r="57" spans="1:16" x14ac:dyDescent="0.2">
      <c r="A57" s="7" t="s">
        <v>27</v>
      </c>
      <c r="B57" s="511">
        <f t="shared" ca="1" si="3"/>
        <v>0.99770367879833854</v>
      </c>
      <c r="C57" s="508">
        <f>Data!AW18</f>
        <v>0.97887537519770107</v>
      </c>
      <c r="D57" s="508">
        <f>Data!AX18</f>
        <v>0.97973430552468965</v>
      </c>
      <c r="E57" s="508">
        <f>Data!AY18</f>
        <v>0.9799161262525885</v>
      </c>
      <c r="F57" s="508">
        <f>Data!AZ18</f>
        <v>0.9713970326111252</v>
      </c>
      <c r="G57" s="508">
        <f>Data!BA18</f>
        <v>0.98432301657628529</v>
      </c>
      <c r="H57" s="508">
        <f>Data!BB18</f>
        <v>0.98288802332264402</v>
      </c>
      <c r="I57" s="192"/>
      <c r="J57" s="192"/>
      <c r="K57" s="508">
        <f>Data!BE18</f>
        <v>0.97887537519770107</v>
      </c>
      <c r="L57" s="508">
        <f>Data!BF18</f>
        <v>0.97973430552468943</v>
      </c>
      <c r="M57" s="508">
        <f>Data!BG18</f>
        <v>0.97991612625258862</v>
      </c>
      <c r="N57" s="508">
        <f>Data!BH18</f>
        <v>0.97167179869733655</v>
      </c>
      <c r="O57" s="508">
        <f>Data!BI18</f>
        <v>0.98432301657628529</v>
      </c>
      <c r="P57" s="508">
        <f>Data!BJ18</f>
        <v>0.98288802332264413</v>
      </c>
    </row>
    <row r="58" spans="1:16" x14ac:dyDescent="0.2">
      <c r="A58" s="7" t="s">
        <v>28</v>
      </c>
      <c r="B58" s="511">
        <f t="shared" ca="1" si="3"/>
        <v>0.99758570365392396</v>
      </c>
      <c r="C58" s="508">
        <f>Data!AW19</f>
        <v>0.98158407497498024</v>
      </c>
      <c r="D58" s="508">
        <f>Data!AX19</f>
        <v>0.98294217199668188</v>
      </c>
      <c r="E58" s="508">
        <f>Data!AY19</f>
        <v>0.98292117696525372</v>
      </c>
      <c r="F58" s="508">
        <f>Data!AZ19</f>
        <v>0.97477468765721198</v>
      </c>
      <c r="G58" s="508">
        <f>Data!BA19</f>
        <v>0.98726355102889563</v>
      </c>
      <c r="H58" s="508">
        <f>Data!BB19</f>
        <v>0.9859409689318529</v>
      </c>
      <c r="I58" s="192"/>
      <c r="J58" s="192"/>
      <c r="K58" s="508">
        <f>Data!BE19</f>
        <v>0.98158407497498024</v>
      </c>
      <c r="L58" s="508">
        <f>Data!BF19</f>
        <v>0.98294217199668166</v>
      </c>
      <c r="M58" s="508">
        <f>Data!BG19</f>
        <v>0.98292117696525383</v>
      </c>
      <c r="N58" s="508">
        <f>Data!BH19</f>
        <v>0.97527173581828364</v>
      </c>
      <c r="O58" s="508">
        <f>Data!BI19</f>
        <v>0.98726355102889563</v>
      </c>
      <c r="P58" s="508">
        <f>Data!BJ19</f>
        <v>0.98594096893185301</v>
      </c>
    </row>
    <row r="59" spans="1:16" x14ac:dyDescent="0.2">
      <c r="A59" s="7" t="s">
        <v>29</v>
      </c>
      <c r="B59" s="511">
        <f t="shared" ca="1" si="3"/>
        <v>0.99753637480932544</v>
      </c>
      <c r="C59" s="508">
        <f>Data!AW20</f>
        <v>0.98413753124115677</v>
      </c>
      <c r="D59" s="508">
        <f>Data!AX20</f>
        <v>0.98549633677704296</v>
      </c>
      <c r="E59" s="508">
        <f>Data!AY20</f>
        <v>0.9853092274446732</v>
      </c>
      <c r="F59" s="508">
        <f>Data!AZ20</f>
        <v>0.97815849908526553</v>
      </c>
      <c r="G59" s="508">
        <f>Data!BA20</f>
        <v>0.98983122285204694</v>
      </c>
      <c r="H59" s="508">
        <f>Data!BB20</f>
        <v>0.98827752641923328</v>
      </c>
      <c r="I59" s="192"/>
      <c r="J59" s="192"/>
      <c r="K59" s="508">
        <f>Data!BE20</f>
        <v>0.98420896315566309</v>
      </c>
      <c r="L59" s="508">
        <f>Data!BF20</f>
        <v>0.98549633677704274</v>
      </c>
      <c r="M59" s="508">
        <f>Data!BG20</f>
        <v>0.98530922744467331</v>
      </c>
      <c r="N59" s="508">
        <f>Data!BH20</f>
        <v>0.9787905471005367</v>
      </c>
      <c r="O59" s="508">
        <f>Data!BI20</f>
        <v>0.98988387816961221</v>
      </c>
      <c r="P59" s="508">
        <f>Data!BJ20</f>
        <v>0.98827752641923339</v>
      </c>
    </row>
    <row r="60" spans="1:16" x14ac:dyDescent="0.2">
      <c r="A60" s="7" t="s">
        <v>30</v>
      </c>
      <c r="B60" s="511">
        <f t="shared" ca="1" si="3"/>
        <v>0.99755502937293805</v>
      </c>
      <c r="C60" s="508">
        <f>Data!AW21</f>
        <v>0.98676924770822272</v>
      </c>
      <c r="D60" s="508">
        <f>Data!AX21</f>
        <v>0.98786433623630543</v>
      </c>
      <c r="E60" s="508">
        <f>Data!AY21</f>
        <v>0.98743829568568109</v>
      </c>
      <c r="F60" s="508">
        <f>Data!AZ21</f>
        <v>0.98206017239316845</v>
      </c>
      <c r="G60" s="508">
        <f>Data!BA21</f>
        <v>0.99245836493104378</v>
      </c>
      <c r="H60" s="508">
        <f>Data!BB21</f>
        <v>0.99037357624809863</v>
      </c>
      <c r="I60" s="192"/>
      <c r="J60" s="192"/>
      <c r="K60" s="508">
        <f>Data!BE21</f>
        <v>0.98681576707912055</v>
      </c>
      <c r="L60" s="508">
        <f>Data!BF21</f>
        <v>0.98786433623630521</v>
      </c>
      <c r="M60" s="508">
        <f>Data!BG21</f>
        <v>0.98760383892803305</v>
      </c>
      <c r="N60" s="508">
        <f>Data!BH21</f>
        <v>0.98219391021519398</v>
      </c>
      <c r="O60" s="508">
        <f>Data!BI21</f>
        <v>0.99245836493104378</v>
      </c>
      <c r="P60" s="508">
        <f>Data!BJ21</f>
        <v>0.99037751532586782</v>
      </c>
    </row>
    <row r="61" spans="1:16" x14ac:dyDescent="0.2">
      <c r="A61" s="7" t="s">
        <v>31</v>
      </c>
      <c r="B61" s="511">
        <f t="shared" ca="1" si="3"/>
        <v>0.99785948827882243</v>
      </c>
      <c r="C61" s="508">
        <f>Data!AW22</f>
        <v>0.98878745420890346</v>
      </c>
      <c r="D61" s="508">
        <f>Data!AX22</f>
        <v>0.98992918937245789</v>
      </c>
      <c r="E61" s="508">
        <f>Data!AY22</f>
        <v>0.98973786539362518</v>
      </c>
      <c r="F61" s="508">
        <f>Data!AZ22</f>
        <v>0.98560347656938252</v>
      </c>
      <c r="G61" s="508">
        <f>Data!BA22</f>
        <v>0.99423884391906237</v>
      </c>
      <c r="H61" s="508">
        <f>Data!BB22</f>
        <v>0.99247801904675303</v>
      </c>
      <c r="I61" s="192"/>
      <c r="J61" s="192"/>
      <c r="K61" s="508">
        <f>Data!BE22</f>
        <v>0.9893828328743498</v>
      </c>
      <c r="L61" s="508">
        <f>Data!BF22</f>
        <v>0.98992918937245766</v>
      </c>
      <c r="M61" s="508">
        <f>Data!BG22</f>
        <v>0.98973786539362529</v>
      </c>
      <c r="N61" s="508">
        <f>Data!BH22</f>
        <v>0.98560347656938263</v>
      </c>
      <c r="O61" s="508">
        <f>Data!BI22</f>
        <v>0.99423884391906237</v>
      </c>
      <c r="P61" s="508">
        <f>Data!BJ22</f>
        <v>0.99247801904675303</v>
      </c>
    </row>
    <row r="62" spans="1:16" x14ac:dyDescent="0.2">
      <c r="A62" s="7" t="s">
        <v>32</v>
      </c>
      <c r="B62" s="511">
        <f t="shared" ca="1" si="3"/>
        <v>0.99787468055775341</v>
      </c>
      <c r="C62" s="508">
        <f>Data!AW23</f>
        <v>0.98978244908519208</v>
      </c>
      <c r="D62" s="508">
        <f>Data!AX23</f>
        <v>0.9912511434960084</v>
      </c>
      <c r="E62" s="508">
        <f>Data!AY23</f>
        <v>0.99113333695924399</v>
      </c>
      <c r="F62" s="508">
        <f>Data!AZ23</f>
        <v>0.98780580667592977</v>
      </c>
      <c r="G62" s="508">
        <f>Data!BA23</f>
        <v>0.99527530196400005</v>
      </c>
      <c r="H62" s="508">
        <f>Data!BB23</f>
        <v>0.99369206667138454</v>
      </c>
      <c r="I62" s="192"/>
      <c r="J62" s="192"/>
      <c r="K62" s="508">
        <f>Data!BE23</f>
        <v>0.9914063848543152</v>
      </c>
      <c r="L62" s="508">
        <f>Data!BF23</f>
        <v>0.99153481530236143</v>
      </c>
      <c r="M62" s="508">
        <f>Data!BG23</f>
        <v>0.9911333369592441</v>
      </c>
      <c r="N62" s="508">
        <f>Data!BH23</f>
        <v>0.98780580667592988</v>
      </c>
      <c r="O62" s="508">
        <f>Data!BI23</f>
        <v>0.99527530196400005</v>
      </c>
      <c r="P62" s="508">
        <f>Data!BJ23</f>
        <v>0.99369206667138454</v>
      </c>
    </row>
    <row r="63" spans="1:16" x14ac:dyDescent="0.2">
      <c r="A63" s="7" t="s">
        <v>33</v>
      </c>
      <c r="B63" s="511">
        <f t="shared" ca="1" si="3"/>
        <v>0.99792651200906379</v>
      </c>
      <c r="C63" s="508">
        <f>Data!AW24</f>
        <v>0.99007291304832212</v>
      </c>
      <c r="D63" s="508">
        <f>Data!AX24</f>
        <v>0.99189101806934477</v>
      </c>
      <c r="E63" s="508">
        <f>Data!AY24</f>
        <v>0.9921514239710294</v>
      </c>
      <c r="F63" s="508">
        <f>Data!AZ24</f>
        <v>0.98960267053481576</v>
      </c>
      <c r="G63" s="508">
        <f>Data!BA24</f>
        <v>0.99573917641696175</v>
      </c>
      <c r="H63" s="508">
        <f>Data!BB24</f>
        <v>0.99465124824347417</v>
      </c>
      <c r="I63" s="192"/>
      <c r="J63" s="192"/>
      <c r="K63" s="508">
        <f>Data!BE24</f>
        <v>0.99317520139782411</v>
      </c>
      <c r="L63" s="508">
        <f>Data!BF24</f>
        <v>0.99285891358313216</v>
      </c>
      <c r="M63" s="508">
        <f>Data!BG24</f>
        <v>0.9921578066798834</v>
      </c>
      <c r="N63" s="508">
        <f>Data!BH24</f>
        <v>0.98999249747045071</v>
      </c>
      <c r="O63" s="508">
        <f>Data!BI24</f>
        <v>0.99600806444302414</v>
      </c>
      <c r="P63" s="508">
        <f>Data!BJ24</f>
        <v>0.99465124824347417</v>
      </c>
    </row>
    <row r="64" spans="1:16" x14ac:dyDescent="0.2">
      <c r="A64" s="7" t="s">
        <v>34</v>
      </c>
      <c r="B64" s="511">
        <f t="shared" ca="1" si="3"/>
        <v>0.99821108175130469</v>
      </c>
      <c r="C64" s="508">
        <f>Data!AW25</f>
        <v>0.99084992117083504</v>
      </c>
      <c r="D64" s="508">
        <f>Data!AX25</f>
        <v>0.99270528721999796</v>
      </c>
      <c r="E64" s="508">
        <f>Data!AY25</f>
        <v>0.99313624366980635</v>
      </c>
      <c r="F64" s="508">
        <f>Data!AZ25</f>
        <v>0.99179333901972133</v>
      </c>
      <c r="G64" s="508">
        <f>Data!BA25</f>
        <v>0.99613191518550459</v>
      </c>
      <c r="H64" s="508">
        <f>Data!BB25</f>
        <v>0.99544326474016287</v>
      </c>
      <c r="I64" s="192"/>
      <c r="J64" s="192"/>
      <c r="K64" s="508">
        <f>Data!BE25</f>
        <v>0.99448318375614042</v>
      </c>
      <c r="L64" s="508">
        <f>Data!BF25</f>
        <v>0.99385190345702557</v>
      </c>
      <c r="M64" s="508">
        <f>Data!BG25</f>
        <v>0.99317694602164064</v>
      </c>
      <c r="N64" s="508">
        <f>Data!BH25</f>
        <v>0.99179333901972144</v>
      </c>
      <c r="O64" s="508">
        <f>Data!BI25</f>
        <v>0.99654366661467964</v>
      </c>
      <c r="P64" s="508">
        <f>Data!BJ25</f>
        <v>0.99544326474016287</v>
      </c>
    </row>
    <row r="65" spans="1:20" x14ac:dyDescent="0.2">
      <c r="A65" s="7" t="s">
        <v>35</v>
      </c>
      <c r="B65" s="511">
        <f t="shared" ca="1" si="3"/>
        <v>0.99832075686577648</v>
      </c>
      <c r="C65" s="508">
        <f>Data!AW26</f>
        <v>0.99261774490031307</v>
      </c>
      <c r="D65" s="508">
        <f>Data!AX26</f>
        <v>0.9936981234472646</v>
      </c>
      <c r="E65" s="508">
        <f>Data!AY26</f>
        <v>0.99416278366414312</v>
      </c>
      <c r="F65" s="508">
        <f>Data!AZ26</f>
        <v>0.99334210788656896</v>
      </c>
      <c r="G65" s="508">
        <f>Data!BA26</f>
        <v>0.99647897031997357</v>
      </c>
      <c r="H65" s="508">
        <f>Data!BB26</f>
        <v>0.99618150768560498</v>
      </c>
      <c r="I65" s="192"/>
      <c r="J65" s="192"/>
      <c r="K65" s="508">
        <f>Data!BE26</f>
        <v>0.99548391011869752</v>
      </c>
      <c r="L65" s="508">
        <f>Data!BF26</f>
        <v>0.9946835720986833</v>
      </c>
      <c r="M65" s="508">
        <f>Data!BG26</f>
        <v>0.99416278366414323</v>
      </c>
      <c r="N65" s="508">
        <f>Data!BH26</f>
        <v>0.99334210788656907</v>
      </c>
      <c r="O65" s="508">
        <f>Data!BI26</f>
        <v>0.99700813222262863</v>
      </c>
      <c r="P65" s="508">
        <f>Data!BJ26</f>
        <v>0.99618150768560498</v>
      </c>
    </row>
    <row r="66" spans="1:20" x14ac:dyDescent="0.2">
      <c r="A66" s="7" t="s">
        <v>36</v>
      </c>
      <c r="B66" s="511">
        <f t="shared" ca="1" si="3"/>
        <v>0.99834960012633567</v>
      </c>
      <c r="C66" s="508">
        <f>Data!AW27</f>
        <v>0.99287762544271008</v>
      </c>
      <c r="D66" s="508">
        <f>Data!AX27</f>
        <v>0.99429894465979018</v>
      </c>
      <c r="E66" s="508">
        <f>Data!AY27</f>
        <v>0.99473962424646833</v>
      </c>
      <c r="F66" s="508">
        <f>Data!AZ27</f>
        <v>0.99414573440826448</v>
      </c>
      <c r="G66" s="508">
        <f>Data!BA27</f>
        <v>0.99701482572071354</v>
      </c>
      <c r="H66" s="508">
        <f>Data!BB27</f>
        <v>0.99671447231472765</v>
      </c>
      <c r="I66" s="192"/>
      <c r="J66" s="192"/>
      <c r="K66" s="508">
        <f>Data!BE27</f>
        <v>0.99626516478570137</v>
      </c>
      <c r="L66" s="508">
        <f>Data!BF27</f>
        <v>0.99550013372961532</v>
      </c>
      <c r="M66" s="508">
        <f>Data!BG27</f>
        <v>0.99512573511663727</v>
      </c>
      <c r="N66" s="508">
        <f>Data!BH27</f>
        <v>0.99430426442806352</v>
      </c>
      <c r="O66" s="508">
        <f>Data!BI27</f>
        <v>0.99744001794173498</v>
      </c>
      <c r="P66" s="508">
        <f>Data!BJ27</f>
        <v>0.99674831818082421</v>
      </c>
    </row>
    <row r="67" spans="1:20" x14ac:dyDescent="0.2">
      <c r="A67" s="7" t="s">
        <v>37</v>
      </c>
      <c r="B67" s="511">
        <f t="shared" ca="1" si="3"/>
        <v>0.99845065820138856</v>
      </c>
      <c r="C67" s="508">
        <f>Data!AW28</f>
        <v>0.99310653582844388</v>
      </c>
      <c r="D67" s="508">
        <f>Data!AX28</f>
        <v>0.99486627843763187</v>
      </c>
      <c r="E67" s="508">
        <f>Data!AY28</f>
        <v>0.99521421578602398</v>
      </c>
      <c r="F67" s="508">
        <f>Data!AZ28</f>
        <v>0.99493718050161961</v>
      </c>
      <c r="G67" s="508">
        <f>Data!BA28</f>
        <v>0.99735536192692908</v>
      </c>
      <c r="H67" s="508">
        <f>Data!BB28</f>
        <v>0.99708866264023643</v>
      </c>
      <c r="I67" s="192"/>
      <c r="J67" s="192"/>
      <c r="K67" s="508">
        <f>Data!BE28</f>
        <v>0.99682817865097173</v>
      </c>
      <c r="L67" s="508">
        <f>Data!BF28</f>
        <v>0.99614275112027972</v>
      </c>
      <c r="M67" s="508">
        <f>Data!BG28</f>
        <v>0.99588794412219095</v>
      </c>
      <c r="N67" s="508">
        <f>Data!BH28</f>
        <v>0.99518214219663492</v>
      </c>
      <c r="O67" s="508">
        <f>Data!BI28</f>
        <v>0.9978334275550349</v>
      </c>
      <c r="P67" s="508">
        <f>Data!BJ28</f>
        <v>0.99728158605784201</v>
      </c>
    </row>
    <row r="68" spans="1:20" x14ac:dyDescent="0.2">
      <c r="A68" s="7" t="s">
        <v>38</v>
      </c>
      <c r="B68" s="511">
        <f t="shared" ca="1" si="3"/>
        <v>0.99852233484236252</v>
      </c>
      <c r="C68" s="508">
        <f>Data!AW29</f>
        <v>0.99336017317771619</v>
      </c>
      <c r="D68" s="508">
        <f>Data!AX29</f>
        <v>0.9952950613899455</v>
      </c>
      <c r="E68" s="508">
        <f>Data!AY29</f>
        <v>0.99575864500617672</v>
      </c>
      <c r="F68" s="508">
        <f>Data!AZ29</f>
        <v>0.99581561707595112</v>
      </c>
      <c r="G68" s="508">
        <f>Data!BA29</f>
        <v>0.99755854857925408</v>
      </c>
      <c r="H68" s="508">
        <f>Data!BB29</f>
        <v>0.99753986230170799</v>
      </c>
      <c r="I68" s="192"/>
      <c r="J68" s="192"/>
      <c r="K68" s="508">
        <f>Data!BE29</f>
        <v>0.99737918097328848</v>
      </c>
      <c r="L68" s="508">
        <f>Data!BF29</f>
        <v>0.9967450504317652</v>
      </c>
      <c r="M68" s="508">
        <f>Data!BG29</f>
        <v>0.99646578569004851</v>
      </c>
      <c r="N68" s="508">
        <f>Data!BH29</f>
        <v>0.99598725732971682</v>
      </c>
      <c r="O68" s="508">
        <f>Data!BI29</f>
        <v>0.99818107550115387</v>
      </c>
      <c r="P68" s="508">
        <f>Data!BJ29</f>
        <v>0.99776438543712231</v>
      </c>
    </row>
    <row r="69" spans="1:20" x14ac:dyDescent="0.2">
      <c r="A69" s="7" t="s">
        <v>39</v>
      </c>
      <c r="B69" s="511">
        <f t="shared" ca="1" si="3"/>
        <v>0.99851783336678968</v>
      </c>
      <c r="C69" s="508">
        <f>Data!AW30</f>
        <v>0.99390925854071088</v>
      </c>
      <c r="D69" s="508">
        <f>Data!AX30</f>
        <v>0.99567468979523854</v>
      </c>
      <c r="E69" s="508">
        <f>Data!AY30</f>
        <v>0.99622414534533255</v>
      </c>
      <c r="F69" s="508">
        <f>Data!AZ30</f>
        <v>0.99625506855570301</v>
      </c>
      <c r="G69" s="508">
        <f>Data!BA30</f>
        <v>0.99781248046774695</v>
      </c>
      <c r="H69" s="508">
        <f>Data!BB30</f>
        <v>0.99789377325397177</v>
      </c>
      <c r="I69" s="192"/>
      <c r="J69" s="192"/>
      <c r="K69" s="508">
        <f>Data!BE30</f>
        <v>0.99785701635448631</v>
      </c>
      <c r="L69" s="508">
        <f>Data!BF30</f>
        <v>0.99731377992508674</v>
      </c>
      <c r="M69" s="508">
        <f>Data!BG30</f>
        <v>0.99701089957810096</v>
      </c>
      <c r="N69" s="508">
        <f>Data!BH30</f>
        <v>0.99678016947183279</v>
      </c>
      <c r="O69" s="508">
        <f>Data!BI30</f>
        <v>0.99852201004675767</v>
      </c>
      <c r="P69" s="508">
        <f>Data!BJ30</f>
        <v>0.99821589087470841</v>
      </c>
    </row>
    <row r="70" spans="1:20" x14ac:dyDescent="0.2">
      <c r="A70" s="7" t="s">
        <v>40</v>
      </c>
      <c r="B70" s="511">
        <f t="shared" ca="1" si="3"/>
        <v>0.99855939912453895</v>
      </c>
      <c r="C70" s="509">
        <f>Data!AW31</f>
        <v>0.99521820763056812</v>
      </c>
      <c r="D70" s="509">
        <f>Data!AX31</f>
        <v>0.99650788376902333</v>
      </c>
      <c r="E70" s="509">
        <f>Data!AY31</f>
        <v>0.99698719566986593</v>
      </c>
      <c r="F70" s="509">
        <f>Data!AZ31</f>
        <v>0.99698719566986593</v>
      </c>
      <c r="G70" s="509">
        <f>Data!BA31</f>
        <v>0.99824471461582698</v>
      </c>
      <c r="H70" s="509">
        <f>Data!BB31</f>
        <v>0.99846155799945291</v>
      </c>
      <c r="I70" s="192"/>
      <c r="J70" s="192"/>
      <c r="K70" s="509">
        <f>Data!BE31</f>
        <v>0.99819213193259781</v>
      </c>
      <c r="L70" s="509">
        <f>Data!BF31</f>
        <v>0.99774361773968323</v>
      </c>
      <c r="M70" s="509">
        <f>Data!BG31</f>
        <v>0.99748657474600533</v>
      </c>
      <c r="N70" s="509">
        <f>Data!BH31</f>
        <v>0.99751268247172975</v>
      </c>
      <c r="O70" s="509">
        <f>Data!BI31</f>
        <v>0.99878239947309322</v>
      </c>
      <c r="P70" s="509">
        <f>Data!BJ31</f>
        <v>0.99859064486846449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2024-04-24T20:04:57Z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