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Задание 1" sheetId="1" r:id="rId1"/>
    <sheet name="Задание 2" sheetId="2" r:id="rId2"/>
  </sheets>
  <definedNames>
    <definedName name="_xlchart.0" hidden="1">'Задание 1'!$A$40:$A$68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2" l="1"/>
  <c r="L17" i="2"/>
  <c r="P126" i="1"/>
  <c r="K113" i="1"/>
  <c r="E83" i="1"/>
  <c r="A75" i="1"/>
  <c r="E75" i="1" s="1"/>
  <c r="D41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V27" i="2" l="1"/>
  <c r="U27" i="2"/>
  <c r="B13" i="2"/>
  <c r="W10" i="2"/>
  <c r="X8" i="2"/>
  <c r="M10" i="2"/>
  <c r="M8" i="2"/>
  <c r="P6" i="2"/>
  <c r="N3" i="2"/>
  <c r="L3" i="2"/>
  <c r="M3" i="2"/>
  <c r="O3" i="2"/>
  <c r="P3" i="2"/>
  <c r="Q3" i="2"/>
  <c r="R3" i="2"/>
  <c r="S3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L6" i="2"/>
  <c r="M6" i="2"/>
  <c r="N6" i="2"/>
  <c r="O6" i="2"/>
  <c r="Q6" i="2"/>
  <c r="R6" i="2"/>
  <c r="S6" i="2"/>
  <c r="L7" i="2"/>
  <c r="M7" i="2"/>
  <c r="N7" i="2"/>
  <c r="O7" i="2"/>
  <c r="P7" i="2"/>
  <c r="Q7" i="2"/>
  <c r="R7" i="2"/>
  <c r="S7" i="2"/>
  <c r="M2" i="2"/>
  <c r="N2" i="2"/>
  <c r="O2" i="2"/>
  <c r="P2" i="2"/>
  <c r="Q2" i="2"/>
  <c r="R2" i="2"/>
  <c r="S2" i="2"/>
  <c r="L2" i="2"/>
  <c r="M20" i="2"/>
  <c r="L23" i="2"/>
  <c r="M14" i="2"/>
  <c r="J21" i="2"/>
  <c r="J22" i="2"/>
  <c r="B21" i="2"/>
  <c r="C21" i="2"/>
  <c r="D21" i="2"/>
  <c r="E21" i="2"/>
  <c r="F21" i="2"/>
  <c r="G21" i="2"/>
  <c r="G22" i="2" s="1"/>
  <c r="H21" i="2"/>
  <c r="I21" i="2"/>
  <c r="B22" i="2"/>
  <c r="C22" i="2"/>
  <c r="D22" i="2"/>
  <c r="E22" i="2"/>
  <c r="F22" i="2"/>
  <c r="H22" i="2"/>
  <c r="I22" i="2"/>
  <c r="J20" i="2"/>
  <c r="C20" i="2"/>
  <c r="D20" i="2"/>
  <c r="E20" i="2"/>
  <c r="F20" i="2"/>
  <c r="G20" i="2"/>
  <c r="H20" i="2"/>
  <c r="I20" i="2"/>
  <c r="B20" i="2"/>
  <c r="C19" i="2"/>
  <c r="D19" i="2"/>
  <c r="E19" i="2"/>
  <c r="F19" i="2"/>
  <c r="G19" i="2"/>
  <c r="H19" i="2"/>
  <c r="I19" i="2"/>
  <c r="B19" i="2"/>
  <c r="H15" i="2"/>
  <c r="H16" i="2"/>
  <c r="H14" i="2"/>
  <c r="C16" i="2"/>
  <c r="D16" i="2"/>
  <c r="E16" i="2"/>
  <c r="F16" i="2"/>
  <c r="G16" i="2"/>
  <c r="B16" i="2"/>
  <c r="G15" i="2"/>
  <c r="C15" i="2"/>
  <c r="D15" i="2"/>
  <c r="E15" i="2"/>
  <c r="F15" i="2"/>
  <c r="B15" i="2"/>
  <c r="G14" i="2"/>
  <c r="F14" i="2"/>
  <c r="E14" i="2"/>
  <c r="D14" i="2"/>
  <c r="C14" i="2"/>
  <c r="B14" i="2"/>
  <c r="G13" i="2"/>
  <c r="F13" i="2"/>
  <c r="E13" i="2"/>
  <c r="D13" i="2"/>
  <c r="C13" i="2"/>
  <c r="E158" i="1" l="1"/>
  <c r="E157" i="1"/>
  <c r="E153" i="1"/>
  <c r="E155" i="1"/>
  <c r="E154" i="1"/>
  <c r="E135" i="1"/>
  <c r="K126" i="1"/>
  <c r="M122" i="1"/>
  <c r="M114" i="1"/>
  <c r="M115" i="1"/>
  <c r="M116" i="1"/>
  <c r="M117" i="1"/>
  <c r="M118" i="1"/>
  <c r="M119" i="1"/>
  <c r="M120" i="1"/>
  <c r="M121" i="1"/>
  <c r="M113" i="1"/>
  <c r="D126" i="1"/>
  <c r="J118" i="1" s="1"/>
  <c r="K118" i="1" s="1"/>
  <c r="F114" i="1"/>
  <c r="H114" i="1" s="1"/>
  <c r="F115" i="1"/>
  <c r="F116" i="1"/>
  <c r="F117" i="1"/>
  <c r="H117" i="1" s="1"/>
  <c r="F118" i="1"/>
  <c r="I118" i="1" s="1"/>
  <c r="F119" i="1"/>
  <c r="F120" i="1"/>
  <c r="F121" i="1"/>
  <c r="I121" i="1" s="1"/>
  <c r="F113" i="1"/>
  <c r="H113" i="1" s="1"/>
  <c r="G122" i="1"/>
  <c r="H121" i="1"/>
  <c r="I120" i="1"/>
  <c r="I119" i="1"/>
  <c r="H118" i="1"/>
  <c r="I117" i="1"/>
  <c r="I116" i="1"/>
  <c r="I115" i="1"/>
  <c r="I114" i="1"/>
  <c r="I113" i="1"/>
  <c r="Q36" i="1"/>
  <c r="P36" i="1"/>
  <c r="Q35" i="1"/>
  <c r="Q28" i="1"/>
  <c r="Q29" i="1"/>
  <c r="Q30" i="1"/>
  <c r="Q31" i="1"/>
  <c r="Q32" i="1"/>
  <c r="Q33" i="1"/>
  <c r="Q34" i="1"/>
  <c r="Q27" i="1"/>
  <c r="P27" i="1"/>
  <c r="P35" i="1"/>
  <c r="P28" i="1"/>
  <c r="P29" i="1"/>
  <c r="P30" i="1"/>
  <c r="P31" i="1"/>
  <c r="P32" i="1"/>
  <c r="P33" i="1"/>
  <c r="P34" i="1"/>
  <c r="N28" i="1"/>
  <c r="N29" i="1"/>
  <c r="N30" i="1"/>
  <c r="N31" i="1"/>
  <c r="N32" i="1"/>
  <c r="N33" i="1"/>
  <c r="N34" i="1"/>
  <c r="N35" i="1"/>
  <c r="N27" i="1"/>
  <c r="O36" i="1"/>
  <c r="I104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K76" i="1"/>
  <c r="K104" i="1" s="1"/>
  <c r="A79" i="1" s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M75" i="1"/>
  <c r="M104" i="1" s="1"/>
  <c r="E79" i="1" s="1"/>
  <c r="K75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E68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1" i="1"/>
  <c r="E42" i="1"/>
  <c r="E40" i="1"/>
  <c r="A83" i="1" l="1"/>
  <c r="E134" i="1" s="1"/>
  <c r="G136" i="1" s="1"/>
  <c r="H138" i="1" s="1"/>
  <c r="E146" i="1"/>
  <c r="E149" i="1" s="1"/>
  <c r="E150" i="1" s="1"/>
  <c r="G133" i="1"/>
  <c r="F138" i="1" s="1"/>
  <c r="J114" i="1"/>
  <c r="K114" i="1" s="1"/>
  <c r="J116" i="1"/>
  <c r="K116" i="1" s="1"/>
  <c r="L116" i="1" s="1"/>
  <c r="J120" i="1"/>
  <c r="K120" i="1" s="1"/>
  <c r="L120" i="1" s="1"/>
  <c r="J115" i="1"/>
  <c r="K115" i="1" s="1"/>
  <c r="L115" i="1" s="1"/>
  <c r="J119" i="1"/>
  <c r="K119" i="1" s="1"/>
  <c r="L119" i="1" s="1"/>
  <c r="J121" i="1"/>
  <c r="K121" i="1" s="1"/>
  <c r="L121" i="1" s="1"/>
  <c r="J117" i="1"/>
  <c r="K117" i="1" s="1"/>
  <c r="J113" i="1"/>
  <c r="L113" i="1" s="1"/>
  <c r="L118" i="1"/>
  <c r="L114" i="1"/>
  <c r="L117" i="1"/>
  <c r="I122" i="1"/>
  <c r="H116" i="1"/>
  <c r="H120" i="1"/>
  <c r="H115" i="1"/>
  <c r="H119" i="1"/>
  <c r="B40" i="1" a="1"/>
  <c r="B40" i="1" s="1"/>
  <c r="A27" i="1"/>
  <c r="D27" i="1" s="1"/>
  <c r="A87" i="1" l="1"/>
  <c r="D164" i="1"/>
  <c r="H166" i="1" s="1"/>
  <c r="D161" i="1"/>
  <c r="F166" i="1" s="1"/>
  <c r="H122" i="1"/>
  <c r="A126" i="1" s="1"/>
  <c r="B67" i="1"/>
  <c r="B63" i="1"/>
  <c r="B59" i="1"/>
  <c r="B55" i="1"/>
  <c r="B51" i="1"/>
  <c r="B47" i="1"/>
  <c r="B43" i="1"/>
  <c r="B66" i="1"/>
  <c r="B62" i="1"/>
  <c r="B58" i="1"/>
  <c r="B54" i="1"/>
  <c r="B50" i="1"/>
  <c r="B46" i="1"/>
  <c r="B42" i="1"/>
  <c r="B41" i="1"/>
  <c r="B69" i="1" s="1"/>
  <c r="B65" i="1"/>
  <c r="B61" i="1"/>
  <c r="B57" i="1"/>
  <c r="B53" i="1"/>
  <c r="B49" i="1"/>
  <c r="B45" i="1"/>
  <c r="B68" i="1"/>
  <c r="B64" i="1"/>
  <c r="B60" i="1"/>
  <c r="B56" i="1"/>
  <c r="B52" i="1"/>
  <c r="B48" i="1"/>
  <c r="B44" i="1"/>
  <c r="C41" i="1" l="1"/>
  <c r="C40" i="1"/>
  <c r="D40" i="1"/>
  <c r="W40" i="1"/>
  <c r="C46" i="1"/>
  <c r="C42" i="1"/>
  <c r="C48" i="1"/>
  <c r="C64" i="1"/>
  <c r="C53" i="1"/>
  <c r="C54" i="1"/>
  <c r="C43" i="1"/>
  <c r="C59" i="1"/>
  <c r="C52" i="1"/>
  <c r="C68" i="1"/>
  <c r="C57" i="1"/>
  <c r="C58" i="1"/>
  <c r="C47" i="1"/>
  <c r="C63" i="1"/>
  <c r="C56" i="1"/>
  <c r="C45" i="1"/>
  <c r="C61" i="1"/>
  <c r="C62" i="1"/>
  <c r="C51" i="1"/>
  <c r="C67" i="1"/>
  <c r="C44" i="1"/>
  <c r="C60" i="1"/>
  <c r="C49" i="1"/>
  <c r="C65" i="1"/>
  <c r="C50" i="1"/>
  <c r="C66" i="1"/>
  <c r="C55" i="1"/>
  <c r="W41" i="1" l="1"/>
  <c r="C69" i="1"/>
  <c r="W42" i="1" l="1"/>
  <c r="D42" i="1"/>
  <c r="W43" i="1" l="1"/>
  <c r="D43" i="1"/>
  <c r="W44" i="1" l="1"/>
  <c r="D44" i="1"/>
  <c r="W45" i="1" l="1"/>
  <c r="D45" i="1"/>
  <c r="D46" i="1" l="1"/>
  <c r="W46" i="1"/>
  <c r="D47" i="1" l="1"/>
  <c r="W47" i="1"/>
  <c r="D48" i="1" l="1"/>
  <c r="W48" i="1"/>
  <c r="D49" i="1" l="1"/>
  <c r="W49" i="1"/>
  <c r="D50" i="1" l="1"/>
  <c r="W50" i="1"/>
  <c r="D51" i="1" l="1"/>
  <c r="W51" i="1"/>
  <c r="D52" i="1" l="1"/>
  <c r="W52" i="1"/>
  <c r="D53" i="1" l="1"/>
  <c r="W53" i="1"/>
  <c r="D54" i="1" l="1"/>
  <c r="W54" i="1"/>
  <c r="D55" i="1" l="1"/>
  <c r="W55" i="1"/>
  <c r="D56" i="1" l="1"/>
  <c r="W56" i="1"/>
  <c r="D57" i="1" l="1"/>
  <c r="W57" i="1"/>
  <c r="D58" i="1" l="1"/>
  <c r="W58" i="1"/>
  <c r="D59" i="1" l="1"/>
  <c r="W59" i="1"/>
  <c r="D60" i="1" l="1"/>
  <c r="W60" i="1"/>
  <c r="D61" i="1" l="1"/>
  <c r="W61" i="1"/>
  <c r="D62" i="1" l="1"/>
  <c r="W62" i="1"/>
  <c r="D63" i="1" l="1"/>
  <c r="W63" i="1"/>
  <c r="D64" i="1" l="1"/>
  <c r="W64" i="1"/>
  <c r="D65" i="1" l="1"/>
  <c r="W65" i="1"/>
  <c r="D66" i="1" l="1"/>
  <c r="W66" i="1"/>
  <c r="D67" i="1" l="1"/>
  <c r="W67" i="1"/>
  <c r="D68" i="1" l="1"/>
  <c r="W68" i="1"/>
</calcChain>
</file>

<file path=xl/sharedStrings.xml><?xml version="1.0" encoding="utf-8"?>
<sst xmlns="http://schemas.openxmlformats.org/spreadsheetml/2006/main" count="159" uniqueCount="132">
  <si>
    <t>2) Размах варьирования</t>
  </si>
  <si>
    <t>Интервал</t>
  </si>
  <si>
    <t>Xi</t>
  </si>
  <si>
    <t>Ni</t>
  </si>
  <si>
    <t>Wi</t>
  </si>
  <si>
    <t>Wi*</t>
  </si>
  <si>
    <t>Длина частичного интервала</t>
  </si>
  <si>
    <t>Начало</t>
  </si>
  <si>
    <t>Конец</t>
  </si>
  <si>
    <t>[24:28)</t>
  </si>
  <si>
    <t>[28:32)</t>
  </si>
  <si>
    <t>[32:36)</t>
  </si>
  <si>
    <t>[36:40)</t>
  </si>
  <si>
    <t>[40:44)</t>
  </si>
  <si>
    <t>[44:48)</t>
  </si>
  <si>
    <t>[48:52)</t>
  </si>
  <si>
    <t>[52:56)</t>
  </si>
  <si>
    <t>[56:60]</t>
  </si>
  <si>
    <t>Сумма:</t>
  </si>
  <si>
    <t xml:space="preserve">F* = </t>
  </si>
  <si>
    <t>, x &lt;=24</t>
  </si>
  <si>
    <t>, 24 &lt; x &lt;=25</t>
  </si>
  <si>
    <t>, 25 &lt; x &lt;=26</t>
  </si>
  <si>
    <t>, 26 &lt; x &lt;=27</t>
  </si>
  <si>
    <t>, 27 &lt; x &lt;=29</t>
  </si>
  <si>
    <t>, 27&lt; x &lt;=30</t>
  </si>
  <si>
    <t>, 30 &lt; x &lt;=31</t>
  </si>
  <si>
    <t>, 31 &lt; x &lt;=33</t>
  </si>
  <si>
    <t>, 33 &lt; x &lt;=34</t>
  </si>
  <si>
    <t>, 35 &lt; x &lt;=37</t>
  </si>
  <si>
    <t>, 37 &lt; x &lt;=38</t>
  </si>
  <si>
    <t>, 38 &lt; x &lt;=39</t>
  </si>
  <si>
    <t>, 39 &lt; x &lt;=41</t>
  </si>
  <si>
    <t>, 41 &lt; x &lt;=42</t>
  </si>
  <si>
    <t>, 42 &lt; x &lt;=43</t>
  </si>
  <si>
    <t>, 43 &lt; x &lt;=45</t>
  </si>
  <si>
    <t>, 45 &lt; x &lt;=46</t>
  </si>
  <si>
    <t>, 46 &lt; x &lt;=47</t>
  </si>
  <si>
    <t>, 47 &lt; x &lt;=49</t>
  </si>
  <si>
    <t>, 49 &lt; x &lt;=50</t>
  </si>
  <si>
    <t>, 50 &lt; x &lt;=51</t>
  </si>
  <si>
    <t>, 51 &lt; x &lt;=53</t>
  </si>
  <si>
    <t>, 53 &lt; x &lt;=54</t>
  </si>
  <si>
    <t>, 54 &lt; x &lt;=55</t>
  </si>
  <si>
    <t>, 55 &lt; x &lt;=57</t>
  </si>
  <si>
    <t>, 57 &lt; x &lt;=58</t>
  </si>
  <si>
    <t>, 58 &lt; x &lt;=59</t>
  </si>
  <si>
    <t>, 59 &lt; x &lt;=60</t>
  </si>
  <si>
    <t>, x &gt; 60</t>
  </si>
  <si>
    <t>, 34 &lt; x &lt;=35</t>
  </si>
  <si>
    <t>График эмпирической функции распределения</t>
  </si>
  <si>
    <t>4) Выборочное среднее:</t>
  </si>
  <si>
    <t>Xi * Ni</t>
  </si>
  <si>
    <t>Xi*Xi</t>
  </si>
  <si>
    <t xml:space="preserve">Выборочная дисперсия </t>
  </si>
  <si>
    <t>((Xi - Xiср)^3)Ni</t>
  </si>
  <si>
    <t>((Xi - Xiср)^4)Ni</t>
  </si>
  <si>
    <t>m3</t>
  </si>
  <si>
    <t>m4</t>
  </si>
  <si>
    <t>Стандартное отклонение</t>
  </si>
  <si>
    <t>Выборочный коэффициент асимментрии</t>
  </si>
  <si>
    <t>Выборочный коэффициент эксцесса</t>
  </si>
  <si>
    <t>5) H0: генеральная совокупность, из которой извлечена выборка, распределена нормально</t>
  </si>
  <si>
    <r>
      <t xml:space="preserve">    H0: генеральная совокупность, из которой извлечена выборка, </t>
    </r>
    <r>
      <rPr>
        <sz val="11"/>
        <color theme="1"/>
        <rFont val="Calibri"/>
        <family val="2"/>
        <charset val="204"/>
        <scheme val="minor"/>
      </rPr>
      <t>не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распределена нормально</t>
    </r>
  </si>
  <si>
    <t>Xiинтср</t>
  </si>
  <si>
    <t>(Xi^2)* Ni</t>
  </si>
  <si>
    <t>Выборочное среднее</t>
  </si>
  <si>
    <t>Среднее квадратичное отклонение</t>
  </si>
  <si>
    <t>Zi</t>
  </si>
  <si>
    <t>f(Zi)</t>
  </si>
  <si>
    <t>N1i</t>
  </si>
  <si>
    <t>h = 4</t>
  </si>
  <si>
    <t>((Ni-N1i)^2)/N1i</t>
  </si>
  <si>
    <t>Уровень значимости (a)</t>
  </si>
  <si>
    <t>Кол-во степеней свободы k = m - r -1</t>
  </si>
  <si>
    <t>Наблюд. знач. критерия:</t>
  </si>
  <si>
    <t>Нижний предел:</t>
  </si>
  <si>
    <t xml:space="preserve">6) </t>
  </si>
  <si>
    <t>Доверительный интервал для математического ожидания:</t>
  </si>
  <si>
    <t xml:space="preserve">p = </t>
  </si>
  <si>
    <t xml:space="preserve">n = </t>
  </si>
  <si>
    <t>Xср =</t>
  </si>
  <si>
    <t>Верхний предел:</t>
  </si>
  <si>
    <t>z =</t>
  </si>
  <si>
    <t>(По лаплассу)</t>
  </si>
  <si>
    <t>Интерввал:</t>
  </si>
  <si>
    <t>Доверительный интервал для среднего квадратичного отклонения:</t>
  </si>
  <si>
    <t xml:space="preserve">SQRT(D) = </t>
  </si>
  <si>
    <t>D =</t>
  </si>
  <si>
    <t>Находим исправленное среднеквадратичное отклонение:</t>
  </si>
  <si>
    <t>1) S^2 =</t>
  </si>
  <si>
    <t xml:space="preserve">2) S = </t>
  </si>
  <si>
    <t>Вычислим доверительный интервал с помощью X^2</t>
  </si>
  <si>
    <t>Верзний предел:</t>
  </si>
  <si>
    <t xml:space="preserve">a1 = </t>
  </si>
  <si>
    <t>a2 =</t>
  </si>
  <si>
    <t xml:space="preserve">k = </t>
  </si>
  <si>
    <t>X^2 (a1k)=</t>
  </si>
  <si>
    <t>X^2 (a2k)=</t>
  </si>
  <si>
    <t>Наблюдаемое значение меньше критического. Следовательно, гипотеза H0 при данном уровне значимости подтверждается.</t>
  </si>
  <si>
    <t>Искомый интервал:</t>
  </si>
  <si>
    <t xml:space="preserve">     &lt; M &lt;</t>
  </si>
  <si>
    <t xml:space="preserve"> &lt;sqrt(D)&lt;</t>
  </si>
  <si>
    <t xml:space="preserve">      X\Y</t>
  </si>
  <si>
    <t>My</t>
  </si>
  <si>
    <t>Mx</t>
  </si>
  <si>
    <t>1) Нахлждение уравнения прямой регрессии y на x</t>
  </si>
  <si>
    <t>Xi * Mx</t>
  </si>
  <si>
    <t>Xi^2 * Mx</t>
  </si>
  <si>
    <t>Суммы:</t>
  </si>
  <si>
    <t>Расчетная таблица для признака-фактора Y:</t>
  </si>
  <si>
    <t>Расчтеная таблица для признака-фактора Х:</t>
  </si>
  <si>
    <t xml:space="preserve">Xср = </t>
  </si>
  <si>
    <t>Стандартное отклонение по X</t>
  </si>
  <si>
    <t xml:space="preserve">Yср = </t>
  </si>
  <si>
    <t>Стандартное отклонение по Y</t>
  </si>
  <si>
    <t>Yj</t>
  </si>
  <si>
    <t>Yj * My</t>
  </si>
  <si>
    <t>Yj^2 * My</t>
  </si>
  <si>
    <t xml:space="preserve">Произведение Xi * Yj * Nij </t>
  </si>
  <si>
    <t>XYср  =</t>
  </si>
  <si>
    <t>Коэффициенты уравнения прямой регрессии y = ax + b</t>
  </si>
  <si>
    <t>Линейный коэффициент корреляции (r):</t>
  </si>
  <si>
    <t xml:space="preserve">a = r * сд откл Y / ст откл X = </t>
  </si>
  <si>
    <t xml:space="preserve">b = Yср - aXср = </t>
  </si>
  <si>
    <t>Выполним чертеж:</t>
  </si>
  <si>
    <t>Xi ^2 * Ni</t>
  </si>
  <si>
    <t xml:space="preserve">1) Отсортированная таблица значений </t>
  </si>
  <si>
    <t>3) Вариационный  ряд</t>
  </si>
  <si>
    <t>Xi+1</t>
  </si>
  <si>
    <t>[Xi, Xi+1)</t>
  </si>
  <si>
    <t xml:space="preserve">Критичесткое значение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</si>
</sst>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1'!$A$40:$A$68</c:f>
              <c:numCache>
                <c:formatCode>General</c:formatCode>
                <c:ptCount val="2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57</c:v>
                </c:pt>
                <c:pt idx="26">
                  <c:v>58</c:v>
                </c:pt>
                <c:pt idx="27">
                  <c:v>59</c:v>
                </c:pt>
                <c:pt idx="28">
                  <c:v>60</c:v>
                </c:pt>
              </c:numCache>
            </c:numRef>
          </c:cat>
          <c:val>
            <c:numRef>
              <c:f>'Задание 1'!$B$40:$B$68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4-4733-9332-B83E25752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615775"/>
        <c:axId val="271612031"/>
      </c:lineChart>
      <c:catAx>
        <c:axId val="27161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612031"/>
        <c:crosses val="autoZero"/>
        <c:auto val="1"/>
        <c:lblAlgn val="ctr"/>
        <c:lblOffset val="100"/>
        <c:noMultiLvlLbl val="0"/>
      </c:catAx>
      <c:valAx>
        <c:axId val="2716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61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Гистограмма относительных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1'!$A$40:$A$68</c:f>
              <c:numCache>
                <c:formatCode>General</c:formatCode>
                <c:ptCount val="2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57</c:v>
                </c:pt>
                <c:pt idx="26">
                  <c:v>58</c:v>
                </c:pt>
                <c:pt idx="27">
                  <c:v>59</c:v>
                </c:pt>
                <c:pt idx="28">
                  <c:v>60</c:v>
                </c:pt>
              </c:numCache>
            </c:numRef>
          </c:cat>
          <c:val>
            <c:numRef>
              <c:f>'Задание 1'!$C$40:$C$68</c:f>
              <c:numCache>
                <c:formatCode>General</c:formatCode>
                <c:ptCount val="29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0.04</c:v>
                </c:pt>
                <c:pt idx="12">
                  <c:v>0.04</c:v>
                </c:pt>
                <c:pt idx="13">
                  <c:v>0.06</c:v>
                </c:pt>
                <c:pt idx="14">
                  <c:v>0.05</c:v>
                </c:pt>
                <c:pt idx="15">
                  <c:v>0.05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0.05</c:v>
                </c:pt>
                <c:pt idx="20">
                  <c:v>0.04</c:v>
                </c:pt>
                <c:pt idx="21">
                  <c:v>0.04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4-4331-95B3-5AF745BB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142655"/>
        <c:axId val="382135583"/>
      </c:barChart>
      <c:catAx>
        <c:axId val="38214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135583"/>
        <c:crosses val="autoZero"/>
        <c:auto val="1"/>
        <c:lblAlgn val="ctr"/>
        <c:lblOffset val="100"/>
        <c:noMultiLvlLbl val="0"/>
      </c:catAx>
      <c:valAx>
        <c:axId val="3821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14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8285004254403E-2"/>
          <c:y val="6.9604703898264522E-2"/>
          <c:w val="0.87319602291092924"/>
          <c:h val="0.839218299405099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1'!$AC$39:$AD$39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xVal>
          <c:yVal>
            <c:numRef>
              <c:f>'Задание 1'!$AC$40:$AD$40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6-482F-881F-B84E577E12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1'!$AC$42:$AD$42</c:f>
              <c:numCache>
                <c:formatCode>General</c:formatCode>
                <c:ptCount val="2"/>
                <c:pt idx="0">
                  <c:v>24</c:v>
                </c:pt>
                <c:pt idx="1">
                  <c:v>25</c:v>
                </c:pt>
              </c:numCache>
            </c:numRef>
          </c:xVal>
          <c:yVal>
            <c:numRef>
              <c:f>'Задание 1'!$AC$43:$AD$43</c:f>
              <c:numCache>
                <c:formatCode>General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46-482F-881F-B84E577E121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1'!$AC$45:$AD$45</c:f>
              <c:numCache>
                <c:formatCode>General</c:formatCode>
                <c:ptCount val="2"/>
                <c:pt idx="0">
                  <c:v>25</c:v>
                </c:pt>
                <c:pt idx="1">
                  <c:v>26</c:v>
                </c:pt>
              </c:numCache>
            </c:numRef>
          </c:xVal>
          <c:yVal>
            <c:numRef>
              <c:f>'Задание 1'!$AC$46:$AD$46</c:f>
              <c:numCache>
                <c:formatCode>General</c:formatCode>
                <c:ptCount val="2"/>
                <c:pt idx="0">
                  <c:v>0.03</c:v>
                </c:pt>
                <c:pt idx="1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46-482F-881F-B84E577E121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1'!$AC$48:$AD$48</c:f>
              <c:numCache>
                <c:formatCode>General</c:formatCode>
                <c:ptCount val="2"/>
                <c:pt idx="0">
                  <c:v>26</c:v>
                </c:pt>
                <c:pt idx="1">
                  <c:v>27</c:v>
                </c:pt>
              </c:numCache>
            </c:numRef>
          </c:xVal>
          <c:yVal>
            <c:numRef>
              <c:f>'Задание 1'!$AC$49:$AD$49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46-482F-881F-B84E577E121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1'!$AC$51:$AD$51</c:f>
              <c:numCache>
                <c:formatCode>General</c:formatCode>
                <c:ptCount val="2"/>
                <c:pt idx="0">
                  <c:v>27</c:v>
                </c:pt>
                <c:pt idx="1">
                  <c:v>29</c:v>
                </c:pt>
              </c:numCache>
            </c:numRef>
          </c:xVal>
          <c:yVal>
            <c:numRef>
              <c:f>'Задание 1'!$AC$52:$AD$52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46-482F-881F-B84E577E121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1'!$AC$54:$AD$54</c:f>
              <c:numCache>
                <c:formatCode>General</c:formatCode>
                <c:ptCount val="2"/>
                <c:pt idx="0">
                  <c:v>29</c:v>
                </c:pt>
                <c:pt idx="1">
                  <c:v>30</c:v>
                </c:pt>
              </c:numCache>
            </c:numRef>
          </c:xVal>
          <c:yVal>
            <c:numRef>
              <c:f>'Задание 1'!$AC$55:$AD$55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46-482F-881F-B84E577E121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1'!$AC$57:$AD$57</c:f>
              <c:numCache>
                <c:formatCode>General</c:formatCode>
                <c:ptCount val="2"/>
                <c:pt idx="0">
                  <c:v>30</c:v>
                </c:pt>
                <c:pt idx="1">
                  <c:v>31</c:v>
                </c:pt>
              </c:numCache>
            </c:numRef>
          </c:xVal>
          <c:yVal>
            <c:numRef>
              <c:f>'Задание 1'!$AC$58:$AD$58</c:f>
              <c:numCache>
                <c:formatCode>General</c:formatCode>
                <c:ptCount val="2"/>
                <c:pt idx="0">
                  <c:v>0.13</c:v>
                </c:pt>
                <c:pt idx="1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46-482F-881F-B84E577E121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1'!$AC$60:$AD$60</c:f>
              <c:numCache>
                <c:formatCode>General</c:formatCode>
                <c:ptCount val="2"/>
                <c:pt idx="0">
                  <c:v>31</c:v>
                </c:pt>
                <c:pt idx="1">
                  <c:v>33</c:v>
                </c:pt>
              </c:numCache>
            </c:numRef>
          </c:xVal>
          <c:yVal>
            <c:numRef>
              <c:f>'Задание 1'!$AC$61:$AD$61</c:f>
              <c:numCache>
                <c:formatCode>General</c:formatCode>
                <c:ptCount val="2"/>
                <c:pt idx="0">
                  <c:v>0.17</c:v>
                </c:pt>
                <c:pt idx="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46-482F-881F-B84E577E121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1'!$AC$63:$AD$63</c:f>
              <c:numCache>
                <c:formatCode>General</c:formatCode>
                <c:ptCount val="2"/>
                <c:pt idx="0">
                  <c:v>33</c:v>
                </c:pt>
                <c:pt idx="1">
                  <c:v>34</c:v>
                </c:pt>
              </c:numCache>
            </c:numRef>
          </c:xVal>
          <c:yVal>
            <c:numRef>
              <c:f>'Задание 1'!$AC$64:$AD$64</c:f>
              <c:numCache>
                <c:formatCode>General</c:formatCode>
                <c:ptCount val="2"/>
                <c:pt idx="0">
                  <c:v>0.21</c:v>
                </c:pt>
                <c:pt idx="1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46-482F-881F-B84E577E121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1'!$AC$66:$AD$66</c:f>
              <c:numCache>
                <c:formatCode>General</c:formatCode>
                <c:ptCount val="2"/>
                <c:pt idx="0">
                  <c:v>34</c:v>
                </c:pt>
                <c:pt idx="1">
                  <c:v>35</c:v>
                </c:pt>
              </c:numCache>
            </c:numRef>
          </c:xVal>
          <c:yVal>
            <c:numRef>
              <c:f>'Задание 1'!$AC$67:$AD$67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46-482F-881F-B84E577E121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1'!$AC$69:$AD$69</c:f>
              <c:numCache>
                <c:formatCode>General</c:formatCode>
                <c:ptCount val="2"/>
                <c:pt idx="0">
                  <c:v>35</c:v>
                </c:pt>
                <c:pt idx="1">
                  <c:v>37</c:v>
                </c:pt>
              </c:numCache>
            </c:numRef>
          </c:xVal>
          <c:yVal>
            <c:numRef>
              <c:f>'Задание 1'!$AC$70:$AD$70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546-482F-881F-B84E577E121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1'!$AC$72:$AD$72</c:f>
              <c:numCache>
                <c:formatCode>General</c:formatCode>
                <c:ptCount val="2"/>
                <c:pt idx="0">
                  <c:v>37</c:v>
                </c:pt>
                <c:pt idx="1">
                  <c:v>38</c:v>
                </c:pt>
              </c:numCache>
            </c:numRef>
          </c:xVal>
          <c:yVal>
            <c:numRef>
              <c:f>'Задание 1'!$AC$73:$AD$73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546-482F-881F-B84E577E1218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1'!$AC$75:$AD$75</c:f>
              <c:numCache>
                <c:formatCode>General</c:formatCode>
                <c:ptCount val="2"/>
                <c:pt idx="0">
                  <c:v>38</c:v>
                </c:pt>
                <c:pt idx="1">
                  <c:v>39</c:v>
                </c:pt>
              </c:numCache>
            </c:numRef>
          </c:xVal>
          <c:yVal>
            <c:numRef>
              <c:f>'Задание 1'!$AC$76:$AD$76</c:f>
              <c:numCache>
                <c:formatCode>General</c:formatCode>
                <c:ptCount val="2"/>
                <c:pt idx="0">
                  <c:v>0.38</c:v>
                </c:pt>
                <c:pt idx="1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546-482F-881F-B84E577E1218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1'!$AC$78:$AD$78</c:f>
              <c:numCache>
                <c:formatCode>General</c:formatCode>
                <c:ptCount val="2"/>
                <c:pt idx="0">
                  <c:v>39</c:v>
                </c:pt>
                <c:pt idx="1">
                  <c:v>41</c:v>
                </c:pt>
              </c:numCache>
            </c:numRef>
          </c:xVal>
          <c:yVal>
            <c:numRef>
              <c:f>'Задание 1'!$AC$79:$AD$79</c:f>
              <c:numCache>
                <c:formatCode>General</c:formatCode>
                <c:ptCount val="2"/>
                <c:pt idx="0">
                  <c:v>0.42</c:v>
                </c:pt>
                <c:pt idx="1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7-424B-B186-09D34FF44CD8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1'!$AC$81:$AD$81</c:f>
              <c:numCache>
                <c:formatCode>General</c:formatCode>
                <c:ptCount val="2"/>
                <c:pt idx="0">
                  <c:v>41</c:v>
                </c:pt>
                <c:pt idx="1">
                  <c:v>42</c:v>
                </c:pt>
              </c:numCache>
            </c:numRef>
          </c:xVal>
          <c:yVal>
            <c:numRef>
              <c:f>'Задание 1'!$AC$82:$AD$82</c:f>
              <c:numCache>
                <c:formatCode>General</c:formatCode>
                <c:ptCount val="2"/>
                <c:pt idx="0">
                  <c:v>0.48</c:v>
                </c:pt>
                <c:pt idx="1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7-424B-B186-09D34FF44CD8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1'!$AC$84:$AD$84</c:f>
              <c:numCache>
                <c:formatCode>General</c:formatCode>
                <c:ptCount val="2"/>
                <c:pt idx="0">
                  <c:v>42</c:v>
                </c:pt>
                <c:pt idx="1">
                  <c:v>43</c:v>
                </c:pt>
              </c:numCache>
            </c:numRef>
          </c:xVal>
          <c:yVal>
            <c:numRef>
              <c:f>'Задание 1'!$AC$85:$AD$85</c:f>
              <c:numCache>
                <c:formatCode>General</c:formatCode>
                <c:ptCount val="2"/>
                <c:pt idx="0">
                  <c:v>0.53</c:v>
                </c:pt>
                <c:pt idx="1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597-424B-B186-09D34FF44CD8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1'!$AC$87:$AD$87</c:f>
              <c:numCache>
                <c:formatCode>General</c:formatCode>
                <c:ptCount val="2"/>
                <c:pt idx="0">
                  <c:v>43</c:v>
                </c:pt>
                <c:pt idx="1">
                  <c:v>45</c:v>
                </c:pt>
              </c:numCache>
            </c:numRef>
          </c:xVal>
          <c:yVal>
            <c:numRef>
              <c:f>'Задание 1'!$AC$88:$AD$88</c:f>
              <c:numCache>
                <c:formatCode>General</c:formatCode>
                <c:ptCount val="2"/>
                <c:pt idx="0">
                  <c:v>0.57999999999999996</c:v>
                </c:pt>
                <c:pt idx="1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597-424B-B186-09D34FF44CD8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1'!$AC$90:$AD$90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xVal>
          <c:yVal>
            <c:numRef>
              <c:f>'Задание 1'!$AC$91:$AD$91</c:f>
              <c:numCache>
                <c:formatCode>General</c:formatCode>
                <c:ptCount val="2"/>
                <c:pt idx="0">
                  <c:v>0.62</c:v>
                </c:pt>
                <c:pt idx="1">
                  <c:v>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597-424B-B186-09D34FF44CD8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1'!$AC$93:$AD$93</c:f>
              <c:numCache>
                <c:formatCode>General</c:formatCode>
                <c:ptCount val="2"/>
                <c:pt idx="0">
                  <c:v>46</c:v>
                </c:pt>
                <c:pt idx="1">
                  <c:v>47</c:v>
                </c:pt>
              </c:numCache>
            </c:numRef>
          </c:xVal>
          <c:yVal>
            <c:numRef>
              <c:f>'Задание 1'!$AC$94:$AD$94</c:f>
              <c:numCache>
                <c:formatCode>General</c:formatCode>
                <c:ptCount val="2"/>
                <c:pt idx="0">
                  <c:v>0.66</c:v>
                </c:pt>
                <c:pt idx="1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597-424B-B186-09D34FF44CD8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1'!$AC$96:$AD$96</c:f>
              <c:numCache>
                <c:formatCode>General</c:formatCode>
                <c:ptCount val="2"/>
                <c:pt idx="0">
                  <c:v>47</c:v>
                </c:pt>
                <c:pt idx="1">
                  <c:v>49</c:v>
                </c:pt>
              </c:numCache>
            </c:numRef>
          </c:xVal>
          <c:yVal>
            <c:numRef>
              <c:f>'Задание 1'!$AC$97:$AD$97</c:f>
              <c:numCache>
                <c:formatCode>General</c:formatCode>
                <c:ptCount val="2"/>
                <c:pt idx="0">
                  <c:v>0.7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597-424B-B186-09D34FF44CD8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1'!$AC$99:$AD$99</c:f>
              <c:numCache>
                <c:formatCode>General</c:formatCode>
                <c:ptCount val="2"/>
                <c:pt idx="0">
                  <c:v>49</c:v>
                </c:pt>
                <c:pt idx="1">
                  <c:v>50</c:v>
                </c:pt>
              </c:numCache>
            </c:numRef>
          </c:xVal>
          <c:yVal>
            <c:numRef>
              <c:f>'Задание 1'!$AC$100:$AD$100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597-424B-B186-09D34FF44CD8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1'!$AC$102:$AD$102</c:f>
              <c:numCache>
                <c:formatCode>General</c:formatCode>
                <c:ptCount val="2"/>
                <c:pt idx="0">
                  <c:v>50</c:v>
                </c:pt>
                <c:pt idx="1">
                  <c:v>51</c:v>
                </c:pt>
              </c:numCache>
            </c:numRef>
          </c:xVal>
          <c:yVal>
            <c:numRef>
              <c:f>'Задание 1'!$AC$103:$AD$103</c:f>
              <c:numCache>
                <c:formatCode>General</c:formatCode>
                <c:ptCount val="2"/>
                <c:pt idx="0">
                  <c:v>0.79</c:v>
                </c:pt>
                <c:pt idx="1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597-424B-B186-09D34FF44CD8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1'!$AC$105:$AD$105</c:f>
              <c:numCache>
                <c:formatCode>General</c:formatCode>
                <c:ptCount val="2"/>
                <c:pt idx="0">
                  <c:v>51</c:v>
                </c:pt>
                <c:pt idx="1">
                  <c:v>53</c:v>
                </c:pt>
              </c:numCache>
            </c:numRef>
          </c:xVal>
          <c:yVal>
            <c:numRef>
              <c:f>'Задание 1'!$AC$106:$AD$106</c:f>
              <c:numCache>
                <c:formatCode>General</c:formatCode>
                <c:ptCount val="2"/>
                <c:pt idx="0">
                  <c:v>0.83</c:v>
                </c:pt>
                <c:pt idx="1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597-424B-B186-09D34FF44CD8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1'!$AC$108:$AD$108</c:f>
              <c:numCache>
                <c:formatCode>General</c:formatCode>
                <c:ptCount val="2"/>
                <c:pt idx="0">
                  <c:v>53</c:v>
                </c:pt>
                <c:pt idx="1">
                  <c:v>54</c:v>
                </c:pt>
              </c:numCache>
            </c:numRef>
          </c:xVal>
          <c:yVal>
            <c:numRef>
              <c:f>'Задание 1'!$AC$109:$AD$109</c:f>
              <c:numCache>
                <c:formatCode>General</c:formatCode>
                <c:ptCount val="2"/>
                <c:pt idx="0">
                  <c:v>0.86</c:v>
                </c:pt>
                <c:pt idx="1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597-424B-B186-09D34FF44CD8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1'!$AC$111:$AD$111</c:f>
              <c:numCache>
                <c:formatCode>General</c:formatCode>
                <c:ptCount val="2"/>
                <c:pt idx="0">
                  <c:v>54</c:v>
                </c:pt>
                <c:pt idx="1">
                  <c:v>55</c:v>
                </c:pt>
              </c:numCache>
            </c:numRef>
          </c:xVal>
          <c:yVal>
            <c:numRef>
              <c:f>'Задание 1'!$AC$112:$AD$112</c:f>
              <c:numCache>
                <c:formatCode>General</c:formatCode>
                <c:ptCount val="2"/>
                <c:pt idx="0">
                  <c:v>0.89</c:v>
                </c:pt>
                <c:pt idx="1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597-424B-B186-09D34FF44CD8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1'!$AC$114:$AD$114</c:f>
              <c:numCache>
                <c:formatCode>General</c:formatCode>
                <c:ptCount val="2"/>
                <c:pt idx="0">
                  <c:v>55</c:v>
                </c:pt>
                <c:pt idx="1">
                  <c:v>57</c:v>
                </c:pt>
              </c:numCache>
            </c:numRef>
          </c:xVal>
          <c:yVal>
            <c:numRef>
              <c:f>'Задание 1'!$AC$115:$AD$115</c:f>
              <c:numCache>
                <c:formatCode>General</c:formatCode>
                <c:ptCount val="2"/>
                <c:pt idx="0">
                  <c:v>0.92</c:v>
                </c:pt>
                <c:pt idx="1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597-424B-B186-09D34FF44CD8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1'!$AC$117:$AD$117</c:f>
              <c:numCache>
                <c:formatCode>General</c:formatCode>
                <c:ptCount val="2"/>
                <c:pt idx="0">
                  <c:v>57</c:v>
                </c:pt>
                <c:pt idx="1">
                  <c:v>58</c:v>
                </c:pt>
              </c:numCache>
            </c:numRef>
          </c:xVal>
          <c:yVal>
            <c:numRef>
              <c:f>'Задание 1'!$AC$118:$AD$118</c:f>
              <c:numCache>
                <c:formatCode>General</c:formatCode>
                <c:ptCount val="2"/>
                <c:pt idx="0">
                  <c:v>0.94</c:v>
                </c:pt>
                <c:pt idx="1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597-424B-B186-09D34FF44CD8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1'!$AC$120:$AD$120</c:f>
              <c:numCache>
                <c:formatCode>General</c:formatCode>
                <c:ptCount val="2"/>
                <c:pt idx="0">
                  <c:v>58</c:v>
                </c:pt>
                <c:pt idx="1">
                  <c:v>59</c:v>
                </c:pt>
              </c:numCache>
            </c:numRef>
          </c:xVal>
          <c:yVal>
            <c:numRef>
              <c:f>'Задание 1'!$AC$121:$AD$121</c:f>
              <c:numCache>
                <c:formatCode>General</c:formatCode>
                <c:ptCount val="2"/>
                <c:pt idx="0">
                  <c:v>0.96</c:v>
                </c:pt>
                <c:pt idx="1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597-424B-B186-09D34FF44CD8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1'!$AC$123:$AD$123</c:f>
              <c:numCache>
                <c:formatCode>General</c:formatCode>
                <c:ptCount val="2"/>
                <c:pt idx="0">
                  <c:v>59</c:v>
                </c:pt>
                <c:pt idx="1">
                  <c:v>60</c:v>
                </c:pt>
              </c:numCache>
            </c:numRef>
          </c:xVal>
          <c:yVal>
            <c:numRef>
              <c:f>'Задание 1'!$AC$124:$AD$124</c:f>
              <c:numCache>
                <c:formatCode>General</c:formatCode>
                <c:ptCount val="2"/>
                <c:pt idx="0">
                  <c:v>0.98</c:v>
                </c:pt>
                <c:pt idx="1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597-424B-B186-09D34FF44CD8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1'!$AC$126:$AD$126</c:f>
              <c:numCache>
                <c:formatCode>General</c:formatCode>
                <c:ptCount val="2"/>
                <c:pt idx="0">
                  <c:v>60</c:v>
                </c:pt>
                <c:pt idx="1">
                  <c:v>70</c:v>
                </c:pt>
              </c:numCache>
            </c:numRef>
          </c:xVal>
          <c:yVal>
            <c:numRef>
              <c:f>'Задание 1'!$AC$127:$AD$127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597-424B-B186-09D34FF44CD8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1'!$AC$42</c:f>
              <c:numCache>
                <c:formatCode>General</c:formatCode>
                <c:ptCount val="1"/>
                <c:pt idx="0">
                  <c:v>24</c:v>
                </c:pt>
              </c:numCache>
            </c:numRef>
          </c:xVal>
          <c:yVal>
            <c:numRef>
              <c:f>'Задание 1'!$AC$40:$AC$127</c:f>
              <c:numCache>
                <c:formatCode>General</c:formatCode>
                <c:ptCount val="88"/>
                <c:pt idx="0">
                  <c:v>0</c:v>
                </c:pt>
                <c:pt idx="2">
                  <c:v>24</c:v>
                </c:pt>
                <c:pt idx="3">
                  <c:v>0.01</c:v>
                </c:pt>
                <c:pt idx="5">
                  <c:v>25</c:v>
                </c:pt>
                <c:pt idx="6">
                  <c:v>0.03</c:v>
                </c:pt>
                <c:pt idx="8">
                  <c:v>26</c:v>
                </c:pt>
                <c:pt idx="9">
                  <c:v>0.05</c:v>
                </c:pt>
                <c:pt idx="11">
                  <c:v>27</c:v>
                </c:pt>
                <c:pt idx="12">
                  <c:v>7.0000000000000007E-2</c:v>
                </c:pt>
                <c:pt idx="14">
                  <c:v>29</c:v>
                </c:pt>
                <c:pt idx="15">
                  <c:v>0.1</c:v>
                </c:pt>
                <c:pt idx="17">
                  <c:v>30</c:v>
                </c:pt>
                <c:pt idx="18">
                  <c:v>0.13</c:v>
                </c:pt>
                <c:pt idx="20">
                  <c:v>31</c:v>
                </c:pt>
                <c:pt idx="21">
                  <c:v>0.17</c:v>
                </c:pt>
                <c:pt idx="23">
                  <c:v>33</c:v>
                </c:pt>
                <c:pt idx="24">
                  <c:v>0.21</c:v>
                </c:pt>
                <c:pt idx="26">
                  <c:v>34</c:v>
                </c:pt>
                <c:pt idx="27">
                  <c:v>0.25</c:v>
                </c:pt>
                <c:pt idx="29">
                  <c:v>35</c:v>
                </c:pt>
                <c:pt idx="30">
                  <c:v>0.28999999999999998</c:v>
                </c:pt>
                <c:pt idx="32">
                  <c:v>37</c:v>
                </c:pt>
                <c:pt idx="33">
                  <c:v>0.34</c:v>
                </c:pt>
                <c:pt idx="35">
                  <c:v>38</c:v>
                </c:pt>
                <c:pt idx="36">
                  <c:v>0.38</c:v>
                </c:pt>
                <c:pt idx="38">
                  <c:v>39</c:v>
                </c:pt>
                <c:pt idx="39">
                  <c:v>0.42</c:v>
                </c:pt>
                <c:pt idx="41">
                  <c:v>41</c:v>
                </c:pt>
                <c:pt idx="42">
                  <c:v>0.48</c:v>
                </c:pt>
                <c:pt idx="44">
                  <c:v>42</c:v>
                </c:pt>
                <c:pt idx="45">
                  <c:v>0.53</c:v>
                </c:pt>
                <c:pt idx="47">
                  <c:v>43</c:v>
                </c:pt>
                <c:pt idx="48">
                  <c:v>0.57999999999999996</c:v>
                </c:pt>
                <c:pt idx="50">
                  <c:v>45</c:v>
                </c:pt>
                <c:pt idx="51">
                  <c:v>0.62</c:v>
                </c:pt>
                <c:pt idx="53">
                  <c:v>46</c:v>
                </c:pt>
                <c:pt idx="54">
                  <c:v>0.66</c:v>
                </c:pt>
                <c:pt idx="56">
                  <c:v>47</c:v>
                </c:pt>
                <c:pt idx="57">
                  <c:v>0.7</c:v>
                </c:pt>
                <c:pt idx="59">
                  <c:v>49</c:v>
                </c:pt>
                <c:pt idx="60">
                  <c:v>0.75</c:v>
                </c:pt>
                <c:pt idx="62">
                  <c:v>50</c:v>
                </c:pt>
                <c:pt idx="63">
                  <c:v>0.79</c:v>
                </c:pt>
                <c:pt idx="65">
                  <c:v>51</c:v>
                </c:pt>
                <c:pt idx="66">
                  <c:v>0.83</c:v>
                </c:pt>
                <c:pt idx="68">
                  <c:v>53</c:v>
                </c:pt>
                <c:pt idx="69">
                  <c:v>0.86</c:v>
                </c:pt>
                <c:pt idx="71">
                  <c:v>54</c:v>
                </c:pt>
                <c:pt idx="72">
                  <c:v>0.89</c:v>
                </c:pt>
                <c:pt idx="74">
                  <c:v>55</c:v>
                </c:pt>
                <c:pt idx="75">
                  <c:v>0.92</c:v>
                </c:pt>
                <c:pt idx="77">
                  <c:v>57</c:v>
                </c:pt>
                <c:pt idx="78">
                  <c:v>0.94</c:v>
                </c:pt>
                <c:pt idx="80">
                  <c:v>58</c:v>
                </c:pt>
                <c:pt idx="81">
                  <c:v>0.96</c:v>
                </c:pt>
                <c:pt idx="83">
                  <c:v>59</c:v>
                </c:pt>
                <c:pt idx="84">
                  <c:v>0.98</c:v>
                </c:pt>
                <c:pt idx="86">
                  <c:v>60</c:v>
                </c:pt>
                <c:pt idx="8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A-4738-8FF5-D7B783CFD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79359"/>
        <c:axId val="381483103"/>
      </c:scatterChart>
      <c:valAx>
        <c:axId val="38147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483103"/>
        <c:crosses val="autoZero"/>
        <c:crossBetween val="midCat"/>
      </c:valAx>
      <c:valAx>
        <c:axId val="381483103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47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Гистотограмма</a:t>
            </a:r>
            <a:r>
              <a:rPr lang="ru-RU" baseline="0"/>
              <a:t> интервальных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1'!$F$113:$F$121</c:f>
              <c:numCache>
                <c:formatCode>General</c:formatCode>
                <c:ptCount val="9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50</c:v>
                </c:pt>
                <c:pt idx="7">
                  <c:v>54</c:v>
                </c:pt>
                <c:pt idx="8">
                  <c:v>58</c:v>
                </c:pt>
              </c:numCache>
            </c:numRef>
          </c:xVal>
          <c:yVal>
            <c:numRef>
              <c:f>'Задание 1'!$L$113:$L$121</c:f>
              <c:numCache>
                <c:formatCode>General</c:formatCode>
                <c:ptCount val="9"/>
                <c:pt idx="0">
                  <c:v>3.854438836936783</c:v>
                </c:pt>
                <c:pt idx="1">
                  <c:v>7.3847953556117405</c:v>
                </c:pt>
                <c:pt idx="2">
                  <c:v>11.762372948797408</c:v>
                </c:pt>
                <c:pt idx="3">
                  <c:v>15.575091273452514</c:v>
                </c:pt>
                <c:pt idx="4">
                  <c:v>17.145313467818202</c:v>
                </c:pt>
                <c:pt idx="5">
                  <c:v>15.690595748929692</c:v>
                </c:pt>
                <c:pt idx="6">
                  <c:v>11.937478749473453</c:v>
                </c:pt>
                <c:pt idx="7">
                  <c:v>7.5503131411729765</c:v>
                </c:pt>
                <c:pt idx="8">
                  <c:v>3.9700547009851066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38-4501-9417-A831B002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01407"/>
        <c:axId val="493501823"/>
      </c:scatterChar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1'!$N$129:$AO$129</c:f>
              <c:numCache>
                <c:formatCode>General</c:formatCode>
                <c:ptCount val="28"/>
                <c:pt idx="0">
                  <c:v>24</c:v>
                </c:pt>
                <c:pt idx="1">
                  <c:v>24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56</c:v>
                </c:pt>
                <c:pt idx="24">
                  <c:v>56</c:v>
                </c:pt>
                <c:pt idx="25">
                  <c:v>56</c:v>
                </c:pt>
                <c:pt idx="26">
                  <c:v>60</c:v>
                </c:pt>
                <c:pt idx="27">
                  <c:v>60</c:v>
                </c:pt>
              </c:numCache>
            </c:numRef>
          </c:xVal>
          <c:yVal>
            <c:numRef>
              <c:f>'Задание 1'!$N$130:$AO$130</c:f>
              <c:numCache>
                <c:formatCode>General</c:formatCode>
                <c:ptCount val="28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0</c:v>
                </c:pt>
                <c:pt idx="4">
                  <c:v>10</c:v>
                </c:pt>
                <c:pt idx="5">
                  <c:v>10</c:v>
                </c:pt>
                <c:pt idx="6">
                  <c:v>0</c:v>
                </c:pt>
                <c:pt idx="7">
                  <c:v>12</c:v>
                </c:pt>
                <c:pt idx="8">
                  <c:v>12</c:v>
                </c:pt>
                <c:pt idx="9">
                  <c:v>0</c:v>
                </c:pt>
                <c:pt idx="10">
                  <c:v>13</c:v>
                </c:pt>
                <c:pt idx="11">
                  <c:v>13</c:v>
                </c:pt>
                <c:pt idx="12">
                  <c:v>0</c:v>
                </c:pt>
                <c:pt idx="13">
                  <c:v>16</c:v>
                </c:pt>
                <c:pt idx="14">
                  <c:v>16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  <c:pt idx="18">
                  <c:v>0</c:v>
                </c:pt>
                <c:pt idx="19">
                  <c:v>13</c:v>
                </c:pt>
                <c:pt idx="20">
                  <c:v>13</c:v>
                </c:pt>
                <c:pt idx="21">
                  <c:v>0</c:v>
                </c:pt>
                <c:pt idx="22">
                  <c:v>9</c:v>
                </c:pt>
                <c:pt idx="23">
                  <c:v>9</c:v>
                </c:pt>
                <c:pt idx="24">
                  <c:v>0</c:v>
                </c:pt>
                <c:pt idx="25">
                  <c:v>8</c:v>
                </c:pt>
                <c:pt idx="26">
                  <c:v>8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8-4501-9417-A831B002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01407"/>
        <c:axId val="493501823"/>
      </c:scatterChart>
      <c:valAx>
        <c:axId val="49350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01823"/>
        <c:crosses val="autoZero"/>
        <c:crossBetween val="midCat"/>
      </c:valAx>
      <c:valAx>
        <c:axId val="4935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0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График прямой регрессии </a:t>
            </a:r>
            <a:r>
              <a:rPr lang="en-US" baseline="0"/>
              <a:t>y </a:t>
            </a:r>
            <a:r>
              <a:rPr lang="ru-RU" baseline="0"/>
              <a:t>на </a:t>
            </a:r>
            <a:r>
              <a:rPr lang="en-US" baseline="0"/>
              <a:t>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2'!$U$15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'Задание 2'!$U$16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89-44E5-8EA7-A1007BF0F75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2'!$U$15:$V$15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'Задание 2'!$U$17:$V$17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89-44E5-8EA7-A1007BF0F75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2'!$U$15:$W$15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'Задание 2'!$U$18:$W$18</c:f>
              <c:numCache>
                <c:formatCode>General</c:formatCode>
                <c:ptCount val="3"/>
                <c:pt idx="0">
                  <c:v>60</c:v>
                </c:pt>
                <c:pt idx="1">
                  <c:v>60</c:v>
                </c:pt>
                <c:pt idx="2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89-44E5-8EA7-A1007BF0F75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2'!$V$15:$X$15</c:f>
              <c:numCache>
                <c:formatCode>General</c:formatCode>
                <c:ptCount val="3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</c:numCache>
            </c:numRef>
          </c:xVal>
          <c:yVal>
            <c:numRef>
              <c:f>'Задание 2'!$V$19:$X$19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89-44E5-8EA7-A1007BF0F75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'Задание 2'!$W$15:$Y$15</c:f>
              <c:numCache>
                <c:formatCode>General</c:formatCode>
                <c:ptCount val="3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</c:numCache>
            </c:numRef>
          </c:xVal>
          <c:yVal>
            <c:numRef>
              <c:f>'Задание 2'!$W$20:$Y$20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89-44E5-8EA7-A1007BF0F75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'Задание 2'!$X$15:$Y$15</c:f>
              <c:numCache>
                <c:formatCode>General</c:formatCode>
                <c:ptCount val="2"/>
                <c:pt idx="0">
                  <c:v>4000</c:v>
                </c:pt>
                <c:pt idx="1">
                  <c:v>5000</c:v>
                </c:pt>
              </c:numCache>
            </c:numRef>
          </c:xVal>
          <c:yVal>
            <c:numRef>
              <c:f>'Задание 2'!$X$21:$Y$21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89-44E5-8EA7-A1007BF0F75F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'Задание 2'!$Y$15:$Z$15</c:f>
              <c:numCache>
                <c:formatCode>General</c:formatCode>
                <c:ptCount val="2"/>
                <c:pt idx="0">
                  <c:v>5000</c:v>
                </c:pt>
                <c:pt idx="1">
                  <c:v>6000</c:v>
                </c:pt>
              </c:numCache>
            </c:numRef>
          </c:xVal>
          <c:yVal>
            <c:numRef>
              <c:f>'Задание 2'!$Y$22:$Z$22</c:f>
              <c:numCache>
                <c:formatCode>General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89-44E5-8EA7-A1007BF0F75F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'Задание 2'!$Z$15</c:f>
              <c:numCache>
                <c:formatCode>General</c:formatCode>
                <c:ptCount val="1"/>
                <c:pt idx="0">
                  <c:v>6000</c:v>
                </c:pt>
              </c:numCache>
            </c:numRef>
          </c:xVal>
          <c:yVal>
            <c:numRef>
              <c:f>'Задание 2'!$Z$23</c:f>
              <c:numCache>
                <c:formatCode>General</c:formatCode>
                <c:ptCount val="1"/>
                <c:pt idx="0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89-44E5-8EA7-A1007BF0F75F}"/>
            </c:ext>
          </c:extLst>
        </c:ser>
        <c:ser>
          <c:idx val="8"/>
          <c:order val="8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2'!$U$26:$V$26</c:f>
              <c:numCache>
                <c:formatCode>General</c:formatCode>
                <c:ptCount val="2"/>
                <c:pt idx="0">
                  <c:v>500</c:v>
                </c:pt>
                <c:pt idx="1">
                  <c:v>7000</c:v>
                </c:pt>
              </c:numCache>
            </c:numRef>
          </c:xVal>
          <c:yVal>
            <c:numRef>
              <c:f>'Задание 2'!$U$27:$V$27</c:f>
              <c:numCache>
                <c:formatCode>General</c:formatCode>
                <c:ptCount val="2"/>
                <c:pt idx="0">
                  <c:v>28.524000000000001</c:v>
                </c:pt>
                <c:pt idx="1">
                  <c:v>161.38400000000001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89-44E5-8EA7-A1007BF0F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164384"/>
        <c:axId val="1037161472"/>
      </c:scatterChart>
      <c:valAx>
        <c:axId val="103716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161472"/>
        <c:crosses val="autoZero"/>
        <c:crossBetween val="midCat"/>
      </c:valAx>
      <c:valAx>
        <c:axId val="10371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16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Ящик с усами</a:t>
            </a:r>
          </a:p>
        </cx:rich>
      </cx:tx>
    </cx:title>
    <cx:plotArea>
      <cx:plotAreaRegion>
        <cx:series layoutId="boxWhisker" uniqueId="{AB402C66-FED2-4683-81C4-8C30F1CC629F}"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38</xdr:row>
      <xdr:rowOff>11430</xdr:rowOff>
    </xdr:from>
    <xdr:to>
      <xdr:col>13</xdr:col>
      <xdr:colOff>320040</xdr:colOff>
      <xdr:row>53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</xdr:colOff>
      <xdr:row>55</xdr:row>
      <xdr:rowOff>26670</xdr:rowOff>
    </xdr:from>
    <xdr:to>
      <xdr:col>13</xdr:col>
      <xdr:colOff>358140</xdr:colOff>
      <xdr:row>70</xdr:row>
      <xdr:rowOff>26670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289560</xdr:colOff>
      <xdr:row>38</xdr:row>
      <xdr:rowOff>11430</xdr:rowOff>
    </xdr:from>
    <xdr:to>
      <xdr:col>20</xdr:col>
      <xdr:colOff>594360</xdr:colOff>
      <xdr:row>53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21</xdr:col>
      <xdr:colOff>411480</xdr:colOff>
      <xdr:row>38</xdr:row>
      <xdr:rowOff>45720</xdr:rowOff>
    </xdr:from>
    <xdr:to>
      <xdr:col>22</xdr:col>
      <xdr:colOff>213360</xdr:colOff>
      <xdr:row>68</xdr:row>
      <xdr:rowOff>7620</xdr:rowOff>
    </xdr:to>
    <xdr:sp macro="" textlink="">
      <xdr:nvSpPr>
        <xdr:cNvPr id="6" name="Левая фигурная скобка 5"/>
        <xdr:cNvSpPr/>
      </xdr:nvSpPr>
      <xdr:spPr>
        <a:xfrm>
          <a:off x="13213080" y="6995160"/>
          <a:ext cx="411480" cy="5448300"/>
        </a:xfrm>
        <a:prstGeom prst="leftBrace">
          <a:avLst>
            <a:gd name="adj1" fmla="val 8333"/>
            <a:gd name="adj2" fmla="val 504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426720</xdr:colOff>
      <xdr:row>55</xdr:row>
      <xdr:rowOff>15240</xdr:rowOff>
    </xdr:from>
    <xdr:to>
      <xdr:col>20</xdr:col>
      <xdr:colOff>601980</xdr:colOff>
      <xdr:row>69</xdr:row>
      <xdr:rowOff>87630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49183</xdr:colOff>
      <xdr:row>111</xdr:row>
      <xdr:rowOff>96981</xdr:rowOff>
    </xdr:from>
    <xdr:to>
      <xdr:col>21</xdr:col>
      <xdr:colOff>27709</xdr:colOff>
      <xdr:row>122</xdr:row>
      <xdr:rowOff>116146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22</xdr:row>
      <xdr:rowOff>171450</xdr:rowOff>
    </xdr:from>
    <xdr:to>
      <xdr:col>19</xdr:col>
      <xdr:colOff>586740</xdr:colOff>
      <xdr:row>37</xdr:row>
      <xdr:rowOff>171450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6"/>
  <sheetViews>
    <sheetView topLeftCell="A143" zoomScale="85" zoomScaleNormal="85" workbookViewId="0">
      <selection activeCell="B135" sqref="B135"/>
    </sheetView>
  </sheetViews>
  <sheetFormatPr defaultRowHeight="14.4" x14ac:dyDescent="0.3"/>
  <sheetData>
    <row r="1" spans="1:10" x14ac:dyDescent="0.3">
      <c r="A1">
        <v>57</v>
      </c>
      <c r="B1">
        <v>46</v>
      </c>
      <c r="C1">
        <v>33</v>
      </c>
      <c r="D1">
        <v>49</v>
      </c>
      <c r="E1">
        <v>29</v>
      </c>
      <c r="F1">
        <v>50</v>
      </c>
      <c r="G1">
        <v>38</v>
      </c>
      <c r="H1">
        <v>41</v>
      </c>
      <c r="I1">
        <v>27</v>
      </c>
      <c r="J1">
        <v>34</v>
      </c>
    </row>
    <row r="2" spans="1:10" x14ac:dyDescent="0.3">
      <c r="A2">
        <v>37</v>
      </c>
      <c r="B2">
        <v>49</v>
      </c>
      <c r="C2">
        <v>51</v>
      </c>
      <c r="D2">
        <v>26</v>
      </c>
      <c r="E2">
        <v>55</v>
      </c>
      <c r="F2">
        <v>42</v>
      </c>
      <c r="G2">
        <v>59</v>
      </c>
      <c r="H2">
        <v>43</v>
      </c>
      <c r="I2">
        <v>46</v>
      </c>
      <c r="J2">
        <v>30</v>
      </c>
    </row>
    <row r="3" spans="1:10" x14ac:dyDescent="0.3">
      <c r="A3">
        <v>31</v>
      </c>
      <c r="B3">
        <v>43</v>
      </c>
      <c r="C3">
        <v>58</v>
      </c>
      <c r="D3">
        <v>41</v>
      </c>
      <c r="E3">
        <v>35</v>
      </c>
      <c r="F3">
        <v>47</v>
      </c>
      <c r="G3">
        <v>33</v>
      </c>
      <c r="H3">
        <v>45</v>
      </c>
      <c r="I3">
        <v>49</v>
      </c>
      <c r="J3">
        <v>37</v>
      </c>
    </row>
    <row r="4" spans="1:10" x14ac:dyDescent="0.3">
      <c r="A4">
        <v>47</v>
      </c>
      <c r="B4">
        <v>34</v>
      </c>
      <c r="C4">
        <v>54</v>
      </c>
      <c r="D4">
        <v>39</v>
      </c>
      <c r="E4">
        <v>60</v>
      </c>
      <c r="F4">
        <v>49</v>
      </c>
      <c r="G4">
        <v>25</v>
      </c>
      <c r="H4">
        <v>50</v>
      </c>
      <c r="I4">
        <v>31</v>
      </c>
      <c r="J4">
        <v>53</v>
      </c>
    </row>
    <row r="5" spans="1:10" x14ac:dyDescent="0.3">
      <c r="A5">
        <v>38</v>
      </c>
      <c r="B5">
        <v>41</v>
      </c>
      <c r="C5">
        <v>30</v>
      </c>
      <c r="D5">
        <v>51</v>
      </c>
      <c r="E5">
        <v>37</v>
      </c>
      <c r="F5">
        <v>55</v>
      </c>
      <c r="G5">
        <v>47</v>
      </c>
      <c r="H5">
        <v>43</v>
      </c>
      <c r="I5">
        <v>35</v>
      </c>
      <c r="J5">
        <v>42</v>
      </c>
    </row>
    <row r="6" spans="1:10" x14ac:dyDescent="0.3">
      <c r="A6">
        <v>35</v>
      </c>
      <c r="B6">
        <v>46</v>
      </c>
      <c r="C6">
        <v>27</v>
      </c>
      <c r="D6">
        <v>45</v>
      </c>
      <c r="E6">
        <v>41</v>
      </c>
      <c r="F6">
        <v>34</v>
      </c>
      <c r="G6">
        <v>50</v>
      </c>
      <c r="H6">
        <v>29</v>
      </c>
      <c r="I6">
        <v>51</v>
      </c>
      <c r="J6">
        <v>39</v>
      </c>
    </row>
    <row r="7" spans="1:10" x14ac:dyDescent="0.3">
      <c r="A7">
        <v>42</v>
      </c>
      <c r="B7">
        <v>59</v>
      </c>
      <c r="C7">
        <v>43</v>
      </c>
      <c r="D7">
        <v>31</v>
      </c>
      <c r="E7">
        <v>38</v>
      </c>
      <c r="F7">
        <v>58</v>
      </c>
      <c r="G7">
        <v>54</v>
      </c>
      <c r="H7">
        <v>37</v>
      </c>
      <c r="I7">
        <v>26</v>
      </c>
      <c r="J7">
        <v>43</v>
      </c>
    </row>
    <row r="8" spans="1:10" x14ac:dyDescent="0.3">
      <c r="A8">
        <v>29</v>
      </c>
      <c r="B8">
        <v>42</v>
      </c>
      <c r="C8">
        <v>33</v>
      </c>
      <c r="D8">
        <v>41</v>
      </c>
      <c r="E8">
        <v>24</v>
      </c>
      <c r="F8">
        <v>39</v>
      </c>
      <c r="G8">
        <v>53</v>
      </c>
      <c r="H8">
        <v>45</v>
      </c>
      <c r="I8">
        <v>33</v>
      </c>
      <c r="J8">
        <v>51</v>
      </c>
    </row>
    <row r="9" spans="1:10" x14ac:dyDescent="0.3">
      <c r="A9">
        <v>45</v>
      </c>
      <c r="B9">
        <v>25</v>
      </c>
      <c r="C9">
        <v>54</v>
      </c>
      <c r="D9">
        <v>50</v>
      </c>
      <c r="E9">
        <v>37</v>
      </c>
      <c r="F9">
        <v>30</v>
      </c>
      <c r="G9">
        <v>41</v>
      </c>
      <c r="H9">
        <v>60</v>
      </c>
      <c r="I9">
        <v>42</v>
      </c>
      <c r="J9">
        <v>46</v>
      </c>
    </row>
    <row r="10" spans="1:10" x14ac:dyDescent="0.3">
      <c r="A10">
        <v>38</v>
      </c>
      <c r="B10">
        <v>53</v>
      </c>
      <c r="C10">
        <v>34</v>
      </c>
      <c r="D10">
        <v>47</v>
      </c>
      <c r="E10">
        <v>35</v>
      </c>
      <c r="F10">
        <v>49</v>
      </c>
      <c r="G10">
        <v>57</v>
      </c>
      <c r="H10">
        <v>39</v>
      </c>
      <c r="I10">
        <v>55</v>
      </c>
      <c r="J10">
        <v>31</v>
      </c>
    </row>
    <row r="14" spans="1:10" x14ac:dyDescent="0.3">
      <c r="A14" t="s">
        <v>127</v>
      </c>
    </row>
    <row r="15" spans="1:10" x14ac:dyDescent="0.3">
      <c r="A15">
        <v>24</v>
      </c>
      <c r="B15">
        <v>25</v>
      </c>
      <c r="C15">
        <v>25</v>
      </c>
      <c r="D15">
        <v>26</v>
      </c>
      <c r="E15">
        <v>26</v>
      </c>
      <c r="F15">
        <v>27</v>
      </c>
      <c r="G15">
        <v>27</v>
      </c>
      <c r="H15">
        <v>29</v>
      </c>
      <c r="I15">
        <v>29</v>
      </c>
      <c r="J15">
        <v>29</v>
      </c>
    </row>
    <row r="16" spans="1:10" x14ac:dyDescent="0.3">
      <c r="A16">
        <v>30</v>
      </c>
      <c r="B16">
        <v>30</v>
      </c>
      <c r="C16">
        <v>30</v>
      </c>
      <c r="D16">
        <v>31</v>
      </c>
      <c r="E16">
        <v>31</v>
      </c>
      <c r="F16">
        <v>31</v>
      </c>
      <c r="G16">
        <v>31</v>
      </c>
      <c r="H16">
        <v>33</v>
      </c>
      <c r="I16">
        <v>33</v>
      </c>
      <c r="J16">
        <v>33</v>
      </c>
    </row>
    <row r="17" spans="1:17" x14ac:dyDescent="0.3">
      <c r="A17">
        <v>33</v>
      </c>
      <c r="B17">
        <v>34</v>
      </c>
      <c r="C17">
        <v>34</v>
      </c>
      <c r="D17">
        <v>34</v>
      </c>
      <c r="E17">
        <v>34</v>
      </c>
      <c r="F17">
        <v>35</v>
      </c>
      <c r="G17">
        <v>35</v>
      </c>
      <c r="H17">
        <v>35</v>
      </c>
      <c r="I17">
        <v>35</v>
      </c>
      <c r="J17">
        <v>37</v>
      </c>
    </row>
    <row r="18" spans="1:17" x14ac:dyDescent="0.3">
      <c r="A18">
        <v>37</v>
      </c>
      <c r="B18">
        <v>37</v>
      </c>
      <c r="C18">
        <v>37</v>
      </c>
      <c r="D18">
        <v>37</v>
      </c>
      <c r="E18">
        <v>38</v>
      </c>
      <c r="F18">
        <v>38</v>
      </c>
      <c r="G18">
        <v>38</v>
      </c>
      <c r="H18">
        <v>38</v>
      </c>
      <c r="I18">
        <v>39</v>
      </c>
      <c r="J18">
        <v>39</v>
      </c>
    </row>
    <row r="19" spans="1:17" x14ac:dyDescent="0.3">
      <c r="A19">
        <v>39</v>
      </c>
      <c r="B19">
        <v>39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42</v>
      </c>
      <c r="J19">
        <v>42</v>
      </c>
    </row>
    <row r="20" spans="1:17" x14ac:dyDescent="0.3">
      <c r="A20">
        <v>42</v>
      </c>
      <c r="B20">
        <v>42</v>
      </c>
      <c r="C20">
        <v>42</v>
      </c>
      <c r="D20">
        <v>43</v>
      </c>
      <c r="E20">
        <v>43</v>
      </c>
      <c r="F20">
        <v>43</v>
      </c>
      <c r="G20">
        <v>43</v>
      </c>
      <c r="H20">
        <v>43</v>
      </c>
      <c r="I20">
        <v>45</v>
      </c>
      <c r="J20">
        <v>45</v>
      </c>
    </row>
    <row r="21" spans="1:17" x14ac:dyDescent="0.3">
      <c r="A21">
        <v>45</v>
      </c>
      <c r="B21">
        <v>45</v>
      </c>
      <c r="C21">
        <v>46</v>
      </c>
      <c r="D21">
        <v>46</v>
      </c>
      <c r="E21">
        <v>46</v>
      </c>
      <c r="F21">
        <v>46</v>
      </c>
      <c r="G21">
        <v>47</v>
      </c>
      <c r="H21">
        <v>47</v>
      </c>
      <c r="I21">
        <v>47</v>
      </c>
      <c r="J21">
        <v>47</v>
      </c>
    </row>
    <row r="22" spans="1:17" x14ac:dyDescent="0.3">
      <c r="A22">
        <v>49</v>
      </c>
      <c r="B22">
        <v>49</v>
      </c>
      <c r="C22">
        <v>49</v>
      </c>
      <c r="D22">
        <v>49</v>
      </c>
      <c r="E22">
        <v>49</v>
      </c>
      <c r="F22">
        <v>50</v>
      </c>
      <c r="G22">
        <v>50</v>
      </c>
      <c r="H22">
        <v>50</v>
      </c>
      <c r="I22">
        <v>50</v>
      </c>
      <c r="J22">
        <v>51</v>
      </c>
    </row>
    <row r="23" spans="1:17" x14ac:dyDescent="0.3">
      <c r="A23">
        <v>51</v>
      </c>
      <c r="B23">
        <v>51</v>
      </c>
      <c r="C23">
        <v>51</v>
      </c>
      <c r="D23">
        <v>53</v>
      </c>
      <c r="E23">
        <v>53</v>
      </c>
      <c r="F23">
        <v>53</v>
      </c>
      <c r="G23">
        <v>54</v>
      </c>
      <c r="H23">
        <v>54</v>
      </c>
      <c r="I23">
        <v>54</v>
      </c>
      <c r="J23">
        <v>55</v>
      </c>
    </row>
    <row r="24" spans="1:17" x14ac:dyDescent="0.3">
      <c r="A24">
        <v>55</v>
      </c>
      <c r="B24">
        <v>55</v>
      </c>
      <c r="C24">
        <v>57</v>
      </c>
      <c r="D24">
        <v>57</v>
      </c>
      <c r="E24">
        <v>58</v>
      </c>
      <c r="F24">
        <v>58</v>
      </c>
      <c r="G24">
        <v>59</v>
      </c>
      <c r="H24">
        <v>59</v>
      </c>
      <c r="I24">
        <v>60</v>
      </c>
      <c r="J24">
        <v>60</v>
      </c>
    </row>
    <row r="26" spans="1:17" x14ac:dyDescent="0.3">
      <c r="A26" t="s">
        <v>0</v>
      </c>
      <c r="D26" t="s">
        <v>6</v>
      </c>
      <c r="I26" t="s">
        <v>1</v>
      </c>
      <c r="J26" t="s">
        <v>2</v>
      </c>
      <c r="K26" t="s">
        <v>129</v>
      </c>
      <c r="L26" t="s">
        <v>130</v>
      </c>
      <c r="N26" t="s">
        <v>64</v>
      </c>
      <c r="O26" t="s">
        <v>3</v>
      </c>
      <c r="P26" t="s">
        <v>52</v>
      </c>
      <c r="Q26" t="s">
        <v>65</v>
      </c>
    </row>
    <row r="27" spans="1:17" x14ac:dyDescent="0.3">
      <c r="A27">
        <f>J24-A15</f>
        <v>36</v>
      </c>
      <c r="D27">
        <f>A27/9</f>
        <v>4</v>
      </c>
      <c r="I27">
        <v>1</v>
      </c>
      <c r="J27">
        <v>24</v>
      </c>
      <c r="K27">
        <v>28</v>
      </c>
      <c r="L27" t="s">
        <v>9</v>
      </c>
      <c r="M27">
        <v>27</v>
      </c>
      <c r="N27">
        <f>(J27+K27)/O27</f>
        <v>7.4285714285714288</v>
      </c>
      <c r="O27">
        <v>7</v>
      </c>
      <c r="P27">
        <f>N27*O27</f>
        <v>52</v>
      </c>
      <c r="Q27">
        <f>N27*N27*O27</f>
        <v>386.28571428571428</v>
      </c>
    </row>
    <row r="28" spans="1:17" x14ac:dyDescent="0.3">
      <c r="I28">
        <v>2</v>
      </c>
      <c r="J28">
        <v>28</v>
      </c>
      <c r="K28">
        <v>32</v>
      </c>
      <c r="L28" t="s">
        <v>10</v>
      </c>
      <c r="M28">
        <v>31</v>
      </c>
      <c r="N28">
        <f t="shared" ref="N28:N35" si="0">(J28+K28)/O28</f>
        <v>6</v>
      </c>
      <c r="O28">
        <v>10</v>
      </c>
      <c r="P28">
        <f t="shared" ref="P28:P34" si="1">N28*O28</f>
        <v>60</v>
      </c>
      <c r="Q28">
        <f t="shared" ref="Q28:Q34" si="2">N28*N28*O28</f>
        <v>360</v>
      </c>
    </row>
    <row r="29" spans="1:17" x14ac:dyDescent="0.3">
      <c r="I29">
        <v>3</v>
      </c>
      <c r="J29">
        <v>32</v>
      </c>
      <c r="K29">
        <v>36</v>
      </c>
      <c r="L29" t="s">
        <v>11</v>
      </c>
      <c r="M29">
        <v>35</v>
      </c>
      <c r="N29">
        <f t="shared" si="0"/>
        <v>5.666666666666667</v>
      </c>
      <c r="O29">
        <v>12</v>
      </c>
      <c r="P29">
        <f t="shared" si="1"/>
        <v>68</v>
      </c>
      <c r="Q29">
        <f t="shared" si="2"/>
        <v>385.33333333333337</v>
      </c>
    </row>
    <row r="30" spans="1:17" x14ac:dyDescent="0.3">
      <c r="I30">
        <v>4</v>
      </c>
      <c r="J30">
        <v>36</v>
      </c>
      <c r="K30">
        <v>40</v>
      </c>
      <c r="L30" t="s">
        <v>12</v>
      </c>
      <c r="M30">
        <v>39</v>
      </c>
      <c r="N30">
        <f t="shared" si="0"/>
        <v>5.8461538461538458</v>
      </c>
      <c r="O30">
        <v>13</v>
      </c>
      <c r="P30">
        <f t="shared" si="1"/>
        <v>76</v>
      </c>
      <c r="Q30">
        <f t="shared" si="2"/>
        <v>444.30769230769221</v>
      </c>
    </row>
    <row r="31" spans="1:17" x14ac:dyDescent="0.3">
      <c r="I31">
        <v>5</v>
      </c>
      <c r="J31">
        <v>40</v>
      </c>
      <c r="K31">
        <v>44</v>
      </c>
      <c r="L31" t="s">
        <v>13</v>
      </c>
      <c r="M31">
        <v>43</v>
      </c>
      <c r="N31">
        <f t="shared" si="0"/>
        <v>5.25</v>
      </c>
      <c r="O31">
        <v>16</v>
      </c>
      <c r="P31">
        <f t="shared" si="1"/>
        <v>84</v>
      </c>
      <c r="Q31">
        <f t="shared" si="2"/>
        <v>441</v>
      </c>
    </row>
    <row r="32" spans="1:17" x14ac:dyDescent="0.3">
      <c r="I32">
        <v>6</v>
      </c>
      <c r="J32">
        <v>44</v>
      </c>
      <c r="K32">
        <v>48</v>
      </c>
      <c r="L32" t="s">
        <v>14</v>
      </c>
      <c r="M32">
        <v>47</v>
      </c>
      <c r="N32">
        <f t="shared" si="0"/>
        <v>7.666666666666667</v>
      </c>
      <c r="O32">
        <v>12</v>
      </c>
      <c r="P32">
        <f t="shared" si="1"/>
        <v>92</v>
      </c>
      <c r="Q32">
        <f t="shared" si="2"/>
        <v>705.33333333333348</v>
      </c>
    </row>
    <row r="33" spans="1:30" x14ac:dyDescent="0.3">
      <c r="I33">
        <v>7</v>
      </c>
      <c r="J33">
        <v>48</v>
      </c>
      <c r="K33">
        <v>52</v>
      </c>
      <c r="L33" t="s">
        <v>15</v>
      </c>
      <c r="M33">
        <v>51</v>
      </c>
      <c r="N33">
        <f t="shared" si="0"/>
        <v>7.6923076923076925</v>
      </c>
      <c r="O33">
        <v>13</v>
      </c>
      <c r="P33">
        <f t="shared" si="1"/>
        <v>100</v>
      </c>
      <c r="Q33">
        <f t="shared" si="2"/>
        <v>769.23076923076928</v>
      </c>
    </row>
    <row r="34" spans="1:30" x14ac:dyDescent="0.3">
      <c r="I34">
        <v>8</v>
      </c>
      <c r="J34">
        <v>52</v>
      </c>
      <c r="K34">
        <v>56</v>
      </c>
      <c r="L34" t="s">
        <v>16</v>
      </c>
      <c r="M34">
        <v>55</v>
      </c>
      <c r="N34">
        <f t="shared" si="0"/>
        <v>12</v>
      </c>
      <c r="O34">
        <v>9</v>
      </c>
      <c r="P34">
        <f t="shared" si="1"/>
        <v>108</v>
      </c>
      <c r="Q34">
        <f t="shared" si="2"/>
        <v>1296</v>
      </c>
    </row>
    <row r="35" spans="1:30" x14ac:dyDescent="0.3">
      <c r="I35">
        <v>9</v>
      </c>
      <c r="J35">
        <v>56</v>
      </c>
      <c r="K35">
        <v>60</v>
      </c>
      <c r="L35" t="s">
        <v>17</v>
      </c>
      <c r="M35">
        <v>60</v>
      </c>
      <c r="N35">
        <f t="shared" si="0"/>
        <v>14.5</v>
      </c>
      <c r="O35">
        <v>8</v>
      </c>
      <c r="P35">
        <f>N35*O35</f>
        <v>116</v>
      </c>
      <c r="Q35">
        <f>N35*N35*O35</f>
        <v>1682</v>
      </c>
    </row>
    <row r="36" spans="1:30" x14ac:dyDescent="0.3">
      <c r="O36">
        <f>SUM(O27:O35)</f>
        <v>100</v>
      </c>
      <c r="P36">
        <f>SUM(P27:P35)</f>
        <v>756</v>
      </c>
      <c r="Q36">
        <f>SUM(Q27:Q35)</f>
        <v>6469.4908424908426</v>
      </c>
    </row>
    <row r="38" spans="1:30" x14ac:dyDescent="0.3">
      <c r="A38" t="s">
        <v>128</v>
      </c>
    </row>
    <row r="39" spans="1:30" x14ac:dyDescent="0.3">
      <c r="A39" t="s">
        <v>2</v>
      </c>
      <c r="B39" t="s">
        <v>3</v>
      </c>
      <c r="C39" t="s">
        <v>4</v>
      </c>
      <c r="D39" t="s">
        <v>5</v>
      </c>
      <c r="E39" t="s">
        <v>52</v>
      </c>
      <c r="F39" t="s">
        <v>53</v>
      </c>
      <c r="W39">
        <v>0</v>
      </c>
      <c r="X39" t="s">
        <v>20</v>
      </c>
      <c r="Z39">
        <v>24</v>
      </c>
      <c r="AC39">
        <v>0</v>
      </c>
      <c r="AD39">
        <v>24</v>
      </c>
    </row>
    <row r="40" spans="1:30" x14ac:dyDescent="0.3">
      <c r="A40">
        <v>24</v>
      </c>
      <c r="B40">
        <f t="array" ref="B40:B68">FREQUENCY(A15:J24, A40:A68)</f>
        <v>1</v>
      </c>
      <c r="C40">
        <f>$B40/$B$69</f>
        <v>0.01</v>
      </c>
      <c r="D40">
        <f>$B40/$B$69</f>
        <v>0.01</v>
      </c>
      <c r="E40">
        <f xml:space="preserve"> $A40 * $B40</f>
        <v>24</v>
      </c>
      <c r="F40">
        <f>PRODUCT($A40, $A40)</f>
        <v>576</v>
      </c>
      <c r="W40">
        <f>$B40/$B$69</f>
        <v>0.01</v>
      </c>
      <c r="X40" t="s">
        <v>21</v>
      </c>
      <c r="Z40">
        <v>25</v>
      </c>
      <c r="AC40">
        <v>0</v>
      </c>
      <c r="AD40">
        <v>0</v>
      </c>
    </row>
    <row r="41" spans="1:30" x14ac:dyDescent="0.3">
      <c r="A41">
        <v>25</v>
      </c>
      <c r="B41">
        <v>2</v>
      </c>
      <c r="C41">
        <f t="shared" ref="C41:C68" si="3">$B41/$B$69</f>
        <v>0.02</v>
      </c>
      <c r="D41">
        <f>$D40 + ($B41/$B$69)</f>
        <v>0.03</v>
      </c>
      <c r="E41">
        <f t="shared" ref="E41:E67" si="4" xml:space="preserve"> $A41 * $B41</f>
        <v>50</v>
      </c>
      <c r="F41">
        <f t="shared" ref="F41:F68" si="5">PRODUCT($A41, $A41)</f>
        <v>625</v>
      </c>
      <c r="W41">
        <f>$D40 + ($B41/$B$69)</f>
        <v>0.03</v>
      </c>
      <c r="X41" t="s">
        <v>22</v>
      </c>
      <c r="Z41">
        <v>26</v>
      </c>
    </row>
    <row r="42" spans="1:30" x14ac:dyDescent="0.3">
      <c r="A42">
        <v>26</v>
      </c>
      <c r="B42">
        <v>2</v>
      </c>
      <c r="C42">
        <f t="shared" si="3"/>
        <v>0.02</v>
      </c>
      <c r="D42">
        <f t="shared" ref="D42:D68" si="6">$D41 + ($B42/$B$69)</f>
        <v>0.05</v>
      </c>
      <c r="E42">
        <f t="shared" si="4"/>
        <v>52</v>
      </c>
      <c r="F42">
        <f t="shared" si="5"/>
        <v>676</v>
      </c>
      <c r="W42">
        <f t="shared" ref="W42:W68" si="7">$D41 + ($B42/$B$69)</f>
        <v>0.05</v>
      </c>
      <c r="X42" t="s">
        <v>23</v>
      </c>
      <c r="Z42">
        <v>27</v>
      </c>
      <c r="AC42">
        <v>24</v>
      </c>
      <c r="AD42">
        <v>25</v>
      </c>
    </row>
    <row r="43" spans="1:30" x14ac:dyDescent="0.3">
      <c r="A43">
        <v>27</v>
      </c>
      <c r="B43">
        <v>2</v>
      </c>
      <c r="C43">
        <f t="shared" si="3"/>
        <v>0.02</v>
      </c>
      <c r="D43">
        <f t="shared" si="6"/>
        <v>7.0000000000000007E-2</v>
      </c>
      <c r="E43">
        <f t="shared" si="4"/>
        <v>54</v>
      </c>
      <c r="F43">
        <f t="shared" si="5"/>
        <v>729</v>
      </c>
      <c r="W43">
        <f t="shared" si="7"/>
        <v>7.0000000000000007E-2</v>
      </c>
      <c r="X43" t="s">
        <v>24</v>
      </c>
      <c r="Z43">
        <v>29</v>
      </c>
      <c r="AC43">
        <v>0.01</v>
      </c>
      <c r="AD43">
        <v>0.01</v>
      </c>
    </row>
    <row r="44" spans="1:30" x14ac:dyDescent="0.3">
      <c r="A44">
        <v>29</v>
      </c>
      <c r="B44">
        <v>3</v>
      </c>
      <c r="C44">
        <f t="shared" si="3"/>
        <v>0.03</v>
      </c>
      <c r="D44">
        <f t="shared" si="6"/>
        <v>0.1</v>
      </c>
      <c r="E44">
        <f t="shared" si="4"/>
        <v>87</v>
      </c>
      <c r="F44">
        <f t="shared" si="5"/>
        <v>841</v>
      </c>
      <c r="W44">
        <f t="shared" si="7"/>
        <v>0.1</v>
      </c>
      <c r="X44" t="s">
        <v>25</v>
      </c>
      <c r="Z44">
        <v>30</v>
      </c>
    </row>
    <row r="45" spans="1:30" x14ac:dyDescent="0.3">
      <c r="A45">
        <v>30</v>
      </c>
      <c r="B45">
        <v>3</v>
      </c>
      <c r="C45">
        <f t="shared" si="3"/>
        <v>0.03</v>
      </c>
      <c r="D45">
        <f t="shared" si="6"/>
        <v>0.13</v>
      </c>
      <c r="E45">
        <f t="shared" si="4"/>
        <v>90</v>
      </c>
      <c r="F45">
        <f t="shared" si="5"/>
        <v>900</v>
      </c>
      <c r="W45">
        <f t="shared" si="7"/>
        <v>0.13</v>
      </c>
      <c r="X45" t="s">
        <v>26</v>
      </c>
      <c r="Z45">
        <v>31</v>
      </c>
      <c r="AC45">
        <v>25</v>
      </c>
      <c r="AD45">
        <v>26</v>
      </c>
    </row>
    <row r="46" spans="1:30" x14ac:dyDescent="0.3">
      <c r="A46">
        <v>31</v>
      </c>
      <c r="B46">
        <v>4</v>
      </c>
      <c r="C46">
        <f t="shared" si="3"/>
        <v>0.04</v>
      </c>
      <c r="D46">
        <f t="shared" si="6"/>
        <v>0.17</v>
      </c>
      <c r="E46">
        <f t="shared" si="4"/>
        <v>124</v>
      </c>
      <c r="F46">
        <f t="shared" si="5"/>
        <v>961</v>
      </c>
      <c r="W46">
        <f t="shared" si="7"/>
        <v>0.17</v>
      </c>
      <c r="X46" t="s">
        <v>27</v>
      </c>
      <c r="Z46">
        <v>33</v>
      </c>
      <c r="AC46">
        <v>0.03</v>
      </c>
      <c r="AD46">
        <v>0.03</v>
      </c>
    </row>
    <row r="47" spans="1:30" x14ac:dyDescent="0.3">
      <c r="A47">
        <v>33</v>
      </c>
      <c r="B47">
        <v>4</v>
      </c>
      <c r="C47">
        <f t="shared" si="3"/>
        <v>0.04</v>
      </c>
      <c r="D47">
        <f t="shared" si="6"/>
        <v>0.21000000000000002</v>
      </c>
      <c r="E47">
        <f t="shared" si="4"/>
        <v>132</v>
      </c>
      <c r="F47">
        <f t="shared" si="5"/>
        <v>1089</v>
      </c>
      <c r="W47">
        <f t="shared" si="7"/>
        <v>0.21000000000000002</v>
      </c>
      <c r="X47" t="s">
        <v>28</v>
      </c>
      <c r="Z47">
        <v>34</v>
      </c>
    </row>
    <row r="48" spans="1:30" x14ac:dyDescent="0.3">
      <c r="A48">
        <v>34</v>
      </c>
      <c r="B48">
        <v>4</v>
      </c>
      <c r="C48">
        <f t="shared" si="3"/>
        <v>0.04</v>
      </c>
      <c r="D48">
        <f t="shared" si="6"/>
        <v>0.25</v>
      </c>
      <c r="E48">
        <f t="shared" si="4"/>
        <v>136</v>
      </c>
      <c r="F48">
        <f t="shared" si="5"/>
        <v>1156</v>
      </c>
      <c r="W48">
        <f t="shared" si="7"/>
        <v>0.25</v>
      </c>
      <c r="X48" t="s">
        <v>49</v>
      </c>
      <c r="Z48">
        <v>35</v>
      </c>
      <c r="AC48">
        <v>26</v>
      </c>
      <c r="AD48">
        <v>27</v>
      </c>
    </row>
    <row r="49" spans="1:30" x14ac:dyDescent="0.3">
      <c r="A49">
        <v>35</v>
      </c>
      <c r="B49">
        <v>4</v>
      </c>
      <c r="C49">
        <f t="shared" si="3"/>
        <v>0.04</v>
      </c>
      <c r="D49">
        <f t="shared" si="6"/>
        <v>0.28999999999999998</v>
      </c>
      <c r="E49">
        <f t="shared" si="4"/>
        <v>140</v>
      </c>
      <c r="F49">
        <f t="shared" si="5"/>
        <v>1225</v>
      </c>
      <c r="W49">
        <f t="shared" si="7"/>
        <v>0.28999999999999998</v>
      </c>
      <c r="X49" t="s">
        <v>29</v>
      </c>
      <c r="Z49">
        <v>37</v>
      </c>
      <c r="AC49">
        <v>0.05</v>
      </c>
      <c r="AD49">
        <v>0.05</v>
      </c>
    </row>
    <row r="50" spans="1:30" x14ac:dyDescent="0.3">
      <c r="A50">
        <v>37</v>
      </c>
      <c r="B50">
        <v>5</v>
      </c>
      <c r="C50">
        <f t="shared" si="3"/>
        <v>0.05</v>
      </c>
      <c r="D50">
        <f t="shared" si="6"/>
        <v>0.33999999999999997</v>
      </c>
      <c r="E50">
        <f t="shared" si="4"/>
        <v>185</v>
      </c>
      <c r="F50">
        <f t="shared" si="5"/>
        <v>1369</v>
      </c>
      <c r="W50">
        <f t="shared" si="7"/>
        <v>0.33999999999999997</v>
      </c>
      <c r="X50" t="s">
        <v>30</v>
      </c>
      <c r="Z50">
        <v>38</v>
      </c>
    </row>
    <row r="51" spans="1:30" x14ac:dyDescent="0.3">
      <c r="A51">
        <v>38</v>
      </c>
      <c r="B51">
        <v>4</v>
      </c>
      <c r="C51">
        <f t="shared" si="3"/>
        <v>0.04</v>
      </c>
      <c r="D51">
        <f t="shared" si="6"/>
        <v>0.37999999999999995</v>
      </c>
      <c r="E51">
        <f t="shared" si="4"/>
        <v>152</v>
      </c>
      <c r="F51">
        <f t="shared" si="5"/>
        <v>1444</v>
      </c>
      <c r="W51">
        <f t="shared" si="7"/>
        <v>0.37999999999999995</v>
      </c>
      <c r="X51" t="s">
        <v>31</v>
      </c>
      <c r="Z51">
        <v>39</v>
      </c>
      <c r="AC51">
        <v>27</v>
      </c>
      <c r="AD51">
        <v>29</v>
      </c>
    </row>
    <row r="52" spans="1:30" x14ac:dyDescent="0.3">
      <c r="A52">
        <v>39</v>
      </c>
      <c r="B52">
        <v>4</v>
      </c>
      <c r="C52">
        <f t="shared" si="3"/>
        <v>0.04</v>
      </c>
      <c r="D52">
        <f t="shared" si="6"/>
        <v>0.41999999999999993</v>
      </c>
      <c r="E52">
        <f t="shared" si="4"/>
        <v>156</v>
      </c>
      <c r="F52">
        <f t="shared" si="5"/>
        <v>1521</v>
      </c>
      <c r="W52">
        <f t="shared" si="7"/>
        <v>0.41999999999999993</v>
      </c>
      <c r="X52" t="s">
        <v>32</v>
      </c>
      <c r="Z52">
        <v>41</v>
      </c>
      <c r="AC52">
        <v>7.0000000000000007E-2</v>
      </c>
      <c r="AD52">
        <v>7.0000000000000007E-2</v>
      </c>
    </row>
    <row r="53" spans="1:30" x14ac:dyDescent="0.3">
      <c r="A53">
        <v>41</v>
      </c>
      <c r="B53">
        <v>6</v>
      </c>
      <c r="C53">
        <f t="shared" si="3"/>
        <v>0.06</v>
      </c>
      <c r="D53">
        <f t="shared" si="6"/>
        <v>0.47999999999999993</v>
      </c>
      <c r="E53">
        <f t="shared" si="4"/>
        <v>246</v>
      </c>
      <c r="F53">
        <f t="shared" si="5"/>
        <v>1681</v>
      </c>
      <c r="W53">
        <f t="shared" si="7"/>
        <v>0.47999999999999993</v>
      </c>
      <c r="X53" t="s">
        <v>33</v>
      </c>
      <c r="Z53">
        <v>42</v>
      </c>
    </row>
    <row r="54" spans="1:30" x14ac:dyDescent="0.3">
      <c r="A54">
        <v>42</v>
      </c>
      <c r="B54">
        <v>5</v>
      </c>
      <c r="C54">
        <f t="shared" si="3"/>
        <v>0.05</v>
      </c>
      <c r="D54">
        <f t="shared" si="6"/>
        <v>0.52999999999999992</v>
      </c>
      <c r="E54">
        <f t="shared" si="4"/>
        <v>210</v>
      </c>
      <c r="F54">
        <f t="shared" si="5"/>
        <v>1764</v>
      </c>
      <c r="V54" t="s">
        <v>19</v>
      </c>
      <c r="W54">
        <f t="shared" si="7"/>
        <v>0.52999999999999992</v>
      </c>
      <c r="X54" t="s">
        <v>34</v>
      </c>
      <c r="Z54">
        <v>43</v>
      </c>
      <c r="AC54">
        <v>29</v>
      </c>
      <c r="AD54">
        <v>30</v>
      </c>
    </row>
    <row r="55" spans="1:30" x14ac:dyDescent="0.3">
      <c r="A55">
        <v>43</v>
      </c>
      <c r="B55">
        <v>5</v>
      </c>
      <c r="C55">
        <f t="shared" si="3"/>
        <v>0.05</v>
      </c>
      <c r="D55">
        <f t="shared" si="6"/>
        <v>0.57999999999999996</v>
      </c>
      <c r="E55">
        <f t="shared" si="4"/>
        <v>215</v>
      </c>
      <c r="F55">
        <f t="shared" si="5"/>
        <v>1849</v>
      </c>
      <c r="O55" t="s">
        <v>50</v>
      </c>
      <c r="W55">
        <f t="shared" si="7"/>
        <v>0.57999999999999996</v>
      </c>
      <c r="X55" t="s">
        <v>35</v>
      </c>
      <c r="Z55">
        <v>45</v>
      </c>
      <c r="AC55">
        <v>0.1</v>
      </c>
      <c r="AD55">
        <v>0.1</v>
      </c>
    </row>
    <row r="56" spans="1:30" x14ac:dyDescent="0.3">
      <c r="A56">
        <v>45</v>
      </c>
      <c r="B56">
        <v>4</v>
      </c>
      <c r="C56">
        <f t="shared" si="3"/>
        <v>0.04</v>
      </c>
      <c r="D56">
        <f t="shared" si="6"/>
        <v>0.62</v>
      </c>
      <c r="E56">
        <f t="shared" si="4"/>
        <v>180</v>
      </c>
      <c r="F56">
        <f t="shared" si="5"/>
        <v>2025</v>
      </c>
      <c r="W56">
        <f t="shared" si="7"/>
        <v>0.62</v>
      </c>
      <c r="X56" t="s">
        <v>36</v>
      </c>
      <c r="Z56">
        <v>46</v>
      </c>
    </row>
    <row r="57" spans="1:30" x14ac:dyDescent="0.3">
      <c r="A57">
        <v>46</v>
      </c>
      <c r="B57">
        <v>4</v>
      </c>
      <c r="C57">
        <f t="shared" si="3"/>
        <v>0.04</v>
      </c>
      <c r="D57">
        <f t="shared" si="6"/>
        <v>0.66</v>
      </c>
      <c r="E57">
        <f t="shared" si="4"/>
        <v>184</v>
      </c>
      <c r="F57">
        <f t="shared" si="5"/>
        <v>2116</v>
      </c>
      <c r="W57">
        <f t="shared" si="7"/>
        <v>0.66</v>
      </c>
      <c r="X57" t="s">
        <v>37</v>
      </c>
      <c r="Z57">
        <v>47</v>
      </c>
      <c r="AC57">
        <v>30</v>
      </c>
      <c r="AD57">
        <v>31</v>
      </c>
    </row>
    <row r="58" spans="1:30" x14ac:dyDescent="0.3">
      <c r="A58">
        <v>47</v>
      </c>
      <c r="B58">
        <v>4</v>
      </c>
      <c r="C58">
        <f t="shared" si="3"/>
        <v>0.04</v>
      </c>
      <c r="D58">
        <f t="shared" si="6"/>
        <v>0.70000000000000007</v>
      </c>
      <c r="E58">
        <f t="shared" si="4"/>
        <v>188</v>
      </c>
      <c r="F58">
        <f t="shared" si="5"/>
        <v>2209</v>
      </c>
      <c r="W58">
        <f t="shared" si="7"/>
        <v>0.70000000000000007</v>
      </c>
      <c r="X58" t="s">
        <v>38</v>
      </c>
      <c r="Z58">
        <v>49</v>
      </c>
      <c r="AC58">
        <v>0.13</v>
      </c>
      <c r="AD58">
        <v>0.13</v>
      </c>
    </row>
    <row r="59" spans="1:30" x14ac:dyDescent="0.3">
      <c r="A59">
        <v>49</v>
      </c>
      <c r="B59">
        <v>5</v>
      </c>
      <c r="C59">
        <f t="shared" si="3"/>
        <v>0.05</v>
      </c>
      <c r="D59">
        <f t="shared" si="6"/>
        <v>0.75000000000000011</v>
      </c>
      <c r="E59">
        <f t="shared" si="4"/>
        <v>245</v>
      </c>
      <c r="F59">
        <f t="shared" si="5"/>
        <v>2401</v>
      </c>
      <c r="W59">
        <f t="shared" si="7"/>
        <v>0.75000000000000011</v>
      </c>
      <c r="X59" t="s">
        <v>39</v>
      </c>
      <c r="Z59">
        <v>50</v>
      </c>
    </row>
    <row r="60" spans="1:30" x14ac:dyDescent="0.3">
      <c r="A60">
        <v>50</v>
      </c>
      <c r="B60">
        <v>4</v>
      </c>
      <c r="C60">
        <f t="shared" si="3"/>
        <v>0.04</v>
      </c>
      <c r="D60">
        <f t="shared" si="6"/>
        <v>0.79000000000000015</v>
      </c>
      <c r="E60">
        <f t="shared" si="4"/>
        <v>200</v>
      </c>
      <c r="F60">
        <f t="shared" si="5"/>
        <v>2500</v>
      </c>
      <c r="W60">
        <f t="shared" si="7"/>
        <v>0.79000000000000015</v>
      </c>
      <c r="X60" t="s">
        <v>40</v>
      </c>
      <c r="Z60">
        <v>51</v>
      </c>
      <c r="AC60">
        <v>31</v>
      </c>
      <c r="AD60">
        <v>33</v>
      </c>
    </row>
    <row r="61" spans="1:30" x14ac:dyDescent="0.3">
      <c r="A61">
        <v>51</v>
      </c>
      <c r="B61">
        <v>4</v>
      </c>
      <c r="C61">
        <f t="shared" si="3"/>
        <v>0.04</v>
      </c>
      <c r="D61">
        <f t="shared" si="6"/>
        <v>0.83000000000000018</v>
      </c>
      <c r="E61">
        <f t="shared" si="4"/>
        <v>204</v>
      </c>
      <c r="F61">
        <f t="shared" si="5"/>
        <v>2601</v>
      </c>
      <c r="W61">
        <f t="shared" si="7"/>
        <v>0.83000000000000018</v>
      </c>
      <c r="X61" t="s">
        <v>41</v>
      </c>
      <c r="Z61">
        <v>53</v>
      </c>
      <c r="AC61">
        <v>0.17</v>
      </c>
      <c r="AD61">
        <v>0.17</v>
      </c>
    </row>
    <row r="62" spans="1:30" x14ac:dyDescent="0.3">
      <c r="A62">
        <v>53</v>
      </c>
      <c r="B62">
        <v>3</v>
      </c>
      <c r="C62">
        <f t="shared" si="3"/>
        <v>0.03</v>
      </c>
      <c r="D62">
        <f t="shared" si="6"/>
        <v>0.86000000000000021</v>
      </c>
      <c r="E62">
        <f t="shared" si="4"/>
        <v>159</v>
      </c>
      <c r="F62">
        <f t="shared" si="5"/>
        <v>2809</v>
      </c>
      <c r="W62">
        <f t="shared" si="7"/>
        <v>0.86000000000000021</v>
      </c>
      <c r="X62" t="s">
        <v>42</v>
      </c>
      <c r="Z62">
        <v>54</v>
      </c>
    </row>
    <row r="63" spans="1:30" x14ac:dyDescent="0.3">
      <c r="A63">
        <v>54</v>
      </c>
      <c r="B63">
        <v>3</v>
      </c>
      <c r="C63">
        <f t="shared" si="3"/>
        <v>0.03</v>
      </c>
      <c r="D63">
        <f t="shared" si="6"/>
        <v>0.89000000000000024</v>
      </c>
      <c r="E63">
        <f t="shared" si="4"/>
        <v>162</v>
      </c>
      <c r="F63">
        <f t="shared" si="5"/>
        <v>2916</v>
      </c>
      <c r="W63">
        <f t="shared" si="7"/>
        <v>0.89000000000000024</v>
      </c>
      <c r="X63" t="s">
        <v>43</v>
      </c>
      <c r="Z63">
        <v>55</v>
      </c>
      <c r="AC63">
        <v>33</v>
      </c>
      <c r="AD63">
        <v>34</v>
      </c>
    </row>
    <row r="64" spans="1:30" x14ac:dyDescent="0.3">
      <c r="A64">
        <v>55</v>
      </c>
      <c r="B64">
        <v>3</v>
      </c>
      <c r="C64">
        <f t="shared" si="3"/>
        <v>0.03</v>
      </c>
      <c r="D64">
        <f t="shared" si="6"/>
        <v>0.92000000000000026</v>
      </c>
      <c r="E64">
        <f t="shared" si="4"/>
        <v>165</v>
      </c>
      <c r="F64">
        <f t="shared" si="5"/>
        <v>3025</v>
      </c>
      <c r="W64">
        <f t="shared" si="7"/>
        <v>0.92000000000000026</v>
      </c>
      <c r="X64" t="s">
        <v>44</v>
      </c>
      <c r="Z64">
        <v>57</v>
      </c>
      <c r="AC64">
        <v>0.21</v>
      </c>
      <c r="AD64">
        <v>0.21</v>
      </c>
    </row>
    <row r="65" spans="1:30" x14ac:dyDescent="0.3">
      <c r="A65">
        <v>57</v>
      </c>
      <c r="B65">
        <v>2</v>
      </c>
      <c r="C65">
        <f t="shared" si="3"/>
        <v>0.02</v>
      </c>
      <c r="D65">
        <f t="shared" si="6"/>
        <v>0.94000000000000028</v>
      </c>
      <c r="E65">
        <f t="shared" si="4"/>
        <v>114</v>
      </c>
      <c r="F65">
        <f t="shared" si="5"/>
        <v>3249</v>
      </c>
      <c r="W65">
        <f t="shared" si="7"/>
        <v>0.94000000000000028</v>
      </c>
      <c r="X65" t="s">
        <v>45</v>
      </c>
      <c r="Z65">
        <v>58</v>
      </c>
    </row>
    <row r="66" spans="1:30" x14ac:dyDescent="0.3">
      <c r="A66">
        <v>58</v>
      </c>
      <c r="B66">
        <v>2</v>
      </c>
      <c r="C66">
        <f t="shared" si="3"/>
        <v>0.02</v>
      </c>
      <c r="D66">
        <f t="shared" si="6"/>
        <v>0.9600000000000003</v>
      </c>
      <c r="E66">
        <f t="shared" si="4"/>
        <v>116</v>
      </c>
      <c r="F66">
        <f t="shared" si="5"/>
        <v>3364</v>
      </c>
      <c r="W66">
        <f t="shared" si="7"/>
        <v>0.9600000000000003</v>
      </c>
      <c r="X66" t="s">
        <v>46</v>
      </c>
      <c r="Z66">
        <v>59</v>
      </c>
      <c r="AC66">
        <v>34</v>
      </c>
      <c r="AD66">
        <v>35</v>
      </c>
    </row>
    <row r="67" spans="1:30" x14ac:dyDescent="0.3">
      <c r="A67">
        <v>59</v>
      </c>
      <c r="B67">
        <v>2</v>
      </c>
      <c r="C67">
        <f t="shared" si="3"/>
        <v>0.02</v>
      </c>
      <c r="D67">
        <f t="shared" si="6"/>
        <v>0.98000000000000032</v>
      </c>
      <c r="E67">
        <f t="shared" si="4"/>
        <v>118</v>
      </c>
      <c r="F67">
        <f t="shared" si="5"/>
        <v>3481</v>
      </c>
      <c r="W67">
        <f t="shared" si="7"/>
        <v>0.98000000000000032</v>
      </c>
      <c r="X67" t="s">
        <v>47</v>
      </c>
      <c r="Z67">
        <v>60</v>
      </c>
      <c r="AC67">
        <v>0.25</v>
      </c>
      <c r="AD67">
        <v>0.25</v>
      </c>
    </row>
    <row r="68" spans="1:30" x14ac:dyDescent="0.3">
      <c r="A68">
        <v>60</v>
      </c>
      <c r="B68">
        <v>2</v>
      </c>
      <c r="C68">
        <f t="shared" si="3"/>
        <v>0.02</v>
      </c>
      <c r="D68">
        <f t="shared" si="6"/>
        <v>1.0000000000000002</v>
      </c>
      <c r="E68">
        <f xml:space="preserve"> $A68 * $B68</f>
        <v>120</v>
      </c>
      <c r="F68">
        <f t="shared" si="5"/>
        <v>3600</v>
      </c>
      <c r="W68">
        <f t="shared" si="7"/>
        <v>1.0000000000000002</v>
      </c>
      <c r="X68" t="s">
        <v>48</v>
      </c>
    </row>
    <row r="69" spans="1:30" x14ac:dyDescent="0.3">
      <c r="A69" t="s">
        <v>18</v>
      </c>
      <c r="B69">
        <f>SUM(B40:B68)</f>
        <v>100</v>
      </c>
      <c r="C69">
        <f>SUM(C40:C68)</f>
        <v>1.0000000000000002</v>
      </c>
      <c r="AC69">
        <v>35</v>
      </c>
      <c r="AD69">
        <v>37</v>
      </c>
    </row>
    <row r="70" spans="1:30" x14ac:dyDescent="0.3">
      <c r="AC70">
        <v>0.28999999999999998</v>
      </c>
      <c r="AD70">
        <v>0.28999999999999998</v>
      </c>
    </row>
    <row r="72" spans="1:30" x14ac:dyDescent="0.3">
      <c r="AC72">
        <v>37</v>
      </c>
      <c r="AD72">
        <v>38</v>
      </c>
    </row>
    <row r="73" spans="1:30" x14ac:dyDescent="0.3">
      <c r="AC73">
        <v>0.34</v>
      </c>
      <c r="AD73">
        <v>0.34</v>
      </c>
    </row>
    <row r="74" spans="1:30" x14ac:dyDescent="0.3">
      <c r="A74" t="s">
        <v>51</v>
      </c>
      <c r="E74" t="s">
        <v>54</v>
      </c>
      <c r="I74" t="s">
        <v>126</v>
      </c>
      <c r="K74" t="s">
        <v>55</v>
      </c>
      <c r="M74" t="s">
        <v>56</v>
      </c>
    </row>
    <row r="75" spans="1:30" x14ac:dyDescent="0.3">
      <c r="A75">
        <f xml:space="preserve"> SUMPRODUCT(A40:A68,B40:B68)/B69</f>
        <v>42.08</v>
      </c>
      <c r="E75">
        <f>I104/100 - A75*A75</f>
        <v>88.133600000000115</v>
      </c>
      <c r="I75">
        <f>POWER($A40,2)*$B40</f>
        <v>576</v>
      </c>
      <c r="K75">
        <f>POWER($A40-$A$75,3)*$B40</f>
        <v>-5910.1061119999977</v>
      </c>
      <c r="M75">
        <f>POWER($A40-$A$75,4)*$B40</f>
        <v>106854.71850495995</v>
      </c>
      <c r="AC75">
        <v>38</v>
      </c>
      <c r="AD75">
        <v>39</v>
      </c>
    </row>
    <row r="76" spans="1:30" x14ac:dyDescent="0.3">
      <c r="I76">
        <f t="shared" ref="I76:I103" si="8">POWER($A41,2)*$B41</f>
        <v>1250</v>
      </c>
      <c r="K76">
        <f t="shared" ref="K76:K103" si="9">POWER($A41-$A$75,3)*$B41</f>
        <v>-9965.3738239999966</v>
      </c>
      <c r="M76">
        <f t="shared" ref="M76:M103" si="10">POWER($A41-$A$75,4)*$B41</f>
        <v>170208.58491391994</v>
      </c>
      <c r="AC76">
        <v>0.38</v>
      </c>
      <c r="AD76">
        <v>0.38</v>
      </c>
    </row>
    <row r="77" spans="1:30" x14ac:dyDescent="0.3">
      <c r="I77">
        <f t="shared" si="8"/>
        <v>1352</v>
      </c>
      <c r="K77">
        <f t="shared" si="9"/>
        <v>-8315.495423999997</v>
      </c>
      <c r="M77">
        <f t="shared" si="10"/>
        <v>133713.16641791991</v>
      </c>
    </row>
    <row r="78" spans="1:30" x14ac:dyDescent="0.3">
      <c r="A78" t="s">
        <v>57</v>
      </c>
      <c r="E78" t="s">
        <v>58</v>
      </c>
      <c r="I78">
        <f t="shared" si="8"/>
        <v>1458</v>
      </c>
      <c r="K78">
        <f t="shared" si="9"/>
        <v>-6858.5770239999983</v>
      </c>
      <c r="M78">
        <f t="shared" si="10"/>
        <v>103427.34152191997</v>
      </c>
      <c r="AC78">
        <v>39</v>
      </c>
      <c r="AD78">
        <v>41</v>
      </c>
    </row>
    <row r="79" spans="1:30" x14ac:dyDescent="0.3">
      <c r="A79">
        <f>K104/B69</f>
        <v>26.027424000000629</v>
      </c>
      <c r="E79">
        <f>M104/B69</f>
        <v>16259.506853120001</v>
      </c>
      <c r="I79">
        <f t="shared" si="8"/>
        <v>2523</v>
      </c>
      <c r="K79">
        <f t="shared" si="9"/>
        <v>-6713.4303359999976</v>
      </c>
      <c r="M79">
        <f t="shared" si="10"/>
        <v>87811.668794879966</v>
      </c>
      <c r="AC79">
        <v>0.42</v>
      </c>
      <c r="AD79">
        <v>0.42</v>
      </c>
    </row>
    <row r="80" spans="1:30" x14ac:dyDescent="0.3">
      <c r="I80">
        <f t="shared" si="8"/>
        <v>2700</v>
      </c>
      <c r="K80">
        <f t="shared" si="9"/>
        <v>-5288.3727359999984</v>
      </c>
      <c r="M80">
        <f t="shared" si="10"/>
        <v>63883.542650879979</v>
      </c>
    </row>
    <row r="81" spans="1:30" x14ac:dyDescent="0.3">
      <c r="I81">
        <f t="shared" si="8"/>
        <v>3844</v>
      </c>
      <c r="K81">
        <f t="shared" si="9"/>
        <v>-5441.0068479999973</v>
      </c>
      <c r="M81">
        <f t="shared" si="10"/>
        <v>60286.355875839959</v>
      </c>
      <c r="AC81">
        <v>41</v>
      </c>
      <c r="AD81">
        <v>42</v>
      </c>
    </row>
    <row r="82" spans="1:30" x14ac:dyDescent="0.3">
      <c r="A82" t="s">
        <v>59</v>
      </c>
      <c r="E82" t="s">
        <v>60</v>
      </c>
      <c r="I82">
        <f t="shared" si="8"/>
        <v>4356</v>
      </c>
      <c r="K82">
        <f t="shared" si="9"/>
        <v>-2994.4532479999984</v>
      </c>
      <c r="M82">
        <f t="shared" si="10"/>
        <v>27189.635491839977</v>
      </c>
      <c r="AC82">
        <v>0.48</v>
      </c>
      <c r="AD82">
        <v>0.48</v>
      </c>
    </row>
    <row r="83" spans="1:30" x14ac:dyDescent="0.3">
      <c r="A83">
        <f>SQRT(E75)</f>
        <v>9.3879497229160798</v>
      </c>
      <c r="E83">
        <f>A79/A83/A83/A83</f>
        <v>3.1457117300985001E-2</v>
      </c>
      <c r="I83">
        <f t="shared" si="8"/>
        <v>4624</v>
      </c>
      <c r="K83">
        <f t="shared" si="9"/>
        <v>-2110.0564479999985</v>
      </c>
      <c r="M83">
        <f t="shared" si="10"/>
        <v>17049.256099839986</v>
      </c>
    </row>
    <row r="84" spans="1:30" x14ac:dyDescent="0.3">
      <c r="I84">
        <f t="shared" si="8"/>
        <v>4900</v>
      </c>
      <c r="K84">
        <f t="shared" si="9"/>
        <v>-1419.579647999999</v>
      </c>
      <c r="M84">
        <f t="shared" si="10"/>
        <v>10050.62390783999</v>
      </c>
      <c r="AC84">
        <v>42</v>
      </c>
      <c r="AD84">
        <v>43</v>
      </c>
    </row>
    <row r="85" spans="1:30" x14ac:dyDescent="0.3">
      <c r="I85">
        <f t="shared" si="8"/>
        <v>6845</v>
      </c>
      <c r="K85">
        <f t="shared" si="9"/>
        <v>-655.48255999999935</v>
      </c>
      <c r="M85">
        <f t="shared" si="10"/>
        <v>3329.8514047999952</v>
      </c>
      <c r="AC85">
        <v>0.53</v>
      </c>
      <c r="AD85">
        <v>0.53</v>
      </c>
    </row>
    <row r="86" spans="1:30" x14ac:dyDescent="0.3">
      <c r="A86" t="s">
        <v>61</v>
      </c>
      <c r="I86">
        <f t="shared" si="8"/>
        <v>5776</v>
      </c>
      <c r="K86">
        <f t="shared" si="9"/>
        <v>-271.66924799999964</v>
      </c>
      <c r="M86">
        <f t="shared" si="10"/>
        <v>1108.4105318399982</v>
      </c>
    </row>
    <row r="87" spans="1:30" x14ac:dyDescent="0.3">
      <c r="A87">
        <f>-3 + E79/POWER(A83,4)</f>
        <v>-0.90673433896467071</v>
      </c>
      <c r="I87">
        <f t="shared" si="8"/>
        <v>6084</v>
      </c>
      <c r="K87">
        <f t="shared" si="9"/>
        <v>-116.87244799999981</v>
      </c>
      <c r="M87">
        <f t="shared" si="10"/>
        <v>359.96713983999916</v>
      </c>
      <c r="AC87">
        <v>43</v>
      </c>
      <c r="AD87">
        <v>45</v>
      </c>
    </row>
    <row r="88" spans="1:30" x14ac:dyDescent="0.3">
      <c r="I88">
        <f t="shared" si="8"/>
        <v>10086</v>
      </c>
      <c r="K88">
        <f t="shared" si="9"/>
        <v>-7.5582719999999632</v>
      </c>
      <c r="M88">
        <f t="shared" si="10"/>
        <v>8.1629337599999481</v>
      </c>
      <c r="AC88">
        <v>0.57999999999999996</v>
      </c>
      <c r="AD88">
        <v>0.57999999999999996</v>
      </c>
    </row>
    <row r="89" spans="1:30" x14ac:dyDescent="0.3">
      <c r="I89">
        <f t="shared" si="8"/>
        <v>8820</v>
      </c>
      <c r="K89">
        <f t="shared" si="9"/>
        <v>-2.5599999999998363E-3</v>
      </c>
      <c r="M89">
        <f t="shared" si="10"/>
        <v>2.0479999999998254E-4</v>
      </c>
    </row>
    <row r="90" spans="1:30" x14ac:dyDescent="0.3">
      <c r="I90">
        <f t="shared" si="8"/>
        <v>9245</v>
      </c>
      <c r="K90">
        <f t="shared" si="9"/>
        <v>3.8934400000000218</v>
      </c>
      <c r="M90">
        <f t="shared" si="10"/>
        <v>3.5819648000000264</v>
      </c>
      <c r="AC90">
        <v>45</v>
      </c>
      <c r="AD90">
        <v>46</v>
      </c>
    </row>
    <row r="91" spans="1:30" x14ac:dyDescent="0.3">
      <c r="I91">
        <f t="shared" si="8"/>
        <v>8100</v>
      </c>
      <c r="K91">
        <f t="shared" si="9"/>
        <v>99.588352000000171</v>
      </c>
      <c r="M91">
        <f t="shared" si="10"/>
        <v>290.79798784000064</v>
      </c>
      <c r="AC91">
        <v>0.62</v>
      </c>
      <c r="AD91">
        <v>0.62</v>
      </c>
    </row>
    <row r="92" spans="1:30" x14ac:dyDescent="0.3">
      <c r="I92">
        <f t="shared" si="8"/>
        <v>8464</v>
      </c>
      <c r="K92">
        <f t="shared" si="9"/>
        <v>240.94515200000032</v>
      </c>
      <c r="M92">
        <f t="shared" si="10"/>
        <v>944.50499584000158</v>
      </c>
    </row>
    <row r="93" spans="1:30" x14ac:dyDescent="0.3">
      <c r="I93">
        <f t="shared" si="8"/>
        <v>8836</v>
      </c>
      <c r="K93">
        <f t="shared" si="9"/>
        <v>476.38195200000047</v>
      </c>
      <c r="M93">
        <f t="shared" si="10"/>
        <v>2343.799203840003</v>
      </c>
      <c r="AC93">
        <v>46</v>
      </c>
      <c r="AD93">
        <v>47</v>
      </c>
    </row>
    <row r="94" spans="1:30" x14ac:dyDescent="0.3">
      <c r="I94">
        <f t="shared" si="8"/>
        <v>12005</v>
      </c>
      <c r="K94">
        <f t="shared" si="9"/>
        <v>1656.8694400000013</v>
      </c>
      <c r="M94">
        <f t="shared" si="10"/>
        <v>11465.536524800011</v>
      </c>
      <c r="AC94">
        <v>0.66</v>
      </c>
      <c r="AD94">
        <v>0.66</v>
      </c>
    </row>
    <row r="95" spans="1:30" x14ac:dyDescent="0.3">
      <c r="I95">
        <f t="shared" si="8"/>
        <v>10000</v>
      </c>
      <c r="K95">
        <f t="shared" si="9"/>
        <v>1987.1723520000012</v>
      </c>
      <c r="M95">
        <f t="shared" si="10"/>
        <v>15738.405027840014</v>
      </c>
    </row>
    <row r="96" spans="1:30" x14ac:dyDescent="0.3">
      <c r="I96">
        <f t="shared" si="8"/>
        <v>10404</v>
      </c>
      <c r="K96">
        <f t="shared" si="9"/>
        <v>2838.9291520000015</v>
      </c>
      <c r="M96">
        <f t="shared" si="10"/>
        <v>25323.248035840021</v>
      </c>
      <c r="AC96">
        <v>47</v>
      </c>
      <c r="AD96">
        <v>49</v>
      </c>
    </row>
    <row r="97" spans="1:30" x14ac:dyDescent="0.3">
      <c r="I97">
        <f t="shared" si="8"/>
        <v>8427</v>
      </c>
      <c r="K97">
        <f t="shared" si="9"/>
        <v>3906.5120640000018</v>
      </c>
      <c r="M97">
        <f t="shared" si="10"/>
        <v>42659.111738880027</v>
      </c>
      <c r="AC97">
        <v>0.7</v>
      </c>
      <c r="AD97">
        <v>0.7</v>
      </c>
    </row>
    <row r="98" spans="1:30" x14ac:dyDescent="0.3">
      <c r="I98">
        <f t="shared" si="8"/>
        <v>8748</v>
      </c>
      <c r="K98">
        <f t="shared" si="9"/>
        <v>5081.0096640000029</v>
      </c>
      <c r="M98">
        <f t="shared" si="10"/>
        <v>60565.635194880051</v>
      </c>
    </row>
    <row r="99" spans="1:30" x14ac:dyDescent="0.3">
      <c r="I99">
        <f t="shared" si="8"/>
        <v>9075</v>
      </c>
      <c r="K99">
        <f t="shared" si="9"/>
        <v>6470.067264000003</v>
      </c>
      <c r="M99">
        <f t="shared" si="10"/>
        <v>83593.269050880059</v>
      </c>
      <c r="AC99">
        <v>49</v>
      </c>
      <c r="AD99">
        <v>50</v>
      </c>
    </row>
    <row r="100" spans="1:30" x14ac:dyDescent="0.3">
      <c r="I100">
        <f t="shared" si="8"/>
        <v>6498</v>
      </c>
      <c r="K100">
        <f t="shared" si="9"/>
        <v>6642.5749760000026</v>
      </c>
      <c r="M100">
        <f t="shared" si="10"/>
        <v>99107.218641920059</v>
      </c>
      <c r="AC100">
        <v>0.75</v>
      </c>
      <c r="AD100">
        <v>0.75</v>
      </c>
    </row>
    <row r="101" spans="1:30" x14ac:dyDescent="0.3">
      <c r="I101">
        <f t="shared" si="8"/>
        <v>6728</v>
      </c>
      <c r="K101">
        <f t="shared" si="9"/>
        <v>8069.7333760000029</v>
      </c>
      <c r="M101">
        <f t="shared" si="10"/>
        <v>128470.15534592007</v>
      </c>
    </row>
    <row r="102" spans="1:30" x14ac:dyDescent="0.3">
      <c r="I102">
        <f t="shared" si="8"/>
        <v>6962</v>
      </c>
      <c r="K102">
        <f t="shared" si="9"/>
        <v>9687.9317760000031</v>
      </c>
      <c r="M102">
        <f t="shared" si="10"/>
        <v>163919.80564992008</v>
      </c>
      <c r="AC102">
        <v>50</v>
      </c>
      <c r="AD102">
        <v>51</v>
      </c>
    </row>
    <row r="103" spans="1:30" x14ac:dyDescent="0.3">
      <c r="I103">
        <f t="shared" si="8"/>
        <v>7200</v>
      </c>
      <c r="K103">
        <f t="shared" si="9"/>
        <v>11509.170176000003</v>
      </c>
      <c r="M103">
        <f t="shared" si="10"/>
        <v>206244.32955392005</v>
      </c>
      <c r="AC103">
        <v>0.79</v>
      </c>
      <c r="AD103">
        <v>0.79</v>
      </c>
    </row>
    <row r="104" spans="1:30" x14ac:dyDescent="0.3">
      <c r="H104" s="1" t="s">
        <v>18</v>
      </c>
      <c r="I104" s="1">
        <f>SUM(I75:I103)</f>
        <v>185886</v>
      </c>
      <c r="K104" s="1">
        <f>SUM(K75:K103)</f>
        <v>2602.7424000000628</v>
      </c>
      <c r="M104" s="1">
        <f>SUM(M75:M103)</f>
        <v>1625950.6853120001</v>
      </c>
    </row>
    <row r="105" spans="1:30" x14ac:dyDescent="0.3">
      <c r="AC105">
        <v>51</v>
      </c>
      <c r="AD105">
        <v>53</v>
      </c>
    </row>
    <row r="106" spans="1:30" x14ac:dyDescent="0.3">
      <c r="AC106">
        <v>0.83</v>
      </c>
      <c r="AD106">
        <v>0.83</v>
      </c>
    </row>
    <row r="107" spans="1:30" x14ac:dyDescent="0.3">
      <c r="A107" t="s">
        <v>62</v>
      </c>
    </row>
    <row r="108" spans="1:30" x14ac:dyDescent="0.3">
      <c r="A108" t="s">
        <v>63</v>
      </c>
      <c r="AC108">
        <v>53</v>
      </c>
      <c r="AD108">
        <v>54</v>
      </c>
    </row>
    <row r="109" spans="1:30" x14ac:dyDescent="0.3">
      <c r="AC109">
        <v>0.86</v>
      </c>
      <c r="AD109">
        <v>0.86</v>
      </c>
    </row>
    <row r="111" spans="1:30" x14ac:dyDescent="0.3">
      <c r="AC111">
        <v>54</v>
      </c>
      <c r="AD111">
        <v>55</v>
      </c>
    </row>
    <row r="112" spans="1:30" x14ac:dyDescent="0.3">
      <c r="A112" t="s">
        <v>1</v>
      </c>
      <c r="B112" t="s">
        <v>7</v>
      </c>
      <c r="C112" t="s">
        <v>8</v>
      </c>
      <c r="D112" t="s">
        <v>1</v>
      </c>
      <c r="F112" t="s">
        <v>64</v>
      </c>
      <c r="G112" t="s">
        <v>3</v>
      </c>
      <c r="H112" t="s">
        <v>52</v>
      </c>
      <c r="I112" t="s">
        <v>65</v>
      </c>
      <c r="J112" t="s">
        <v>68</v>
      </c>
      <c r="K112" t="s">
        <v>69</v>
      </c>
      <c r="L112" t="s">
        <v>70</v>
      </c>
      <c r="M112" t="s">
        <v>72</v>
      </c>
      <c r="AC112">
        <v>0.89</v>
      </c>
      <c r="AD112">
        <v>0.89</v>
      </c>
    </row>
    <row r="113" spans="1:30" x14ac:dyDescent="0.3">
      <c r="A113">
        <v>1</v>
      </c>
      <c r="B113">
        <v>24</v>
      </c>
      <c r="C113">
        <v>28</v>
      </c>
      <c r="D113" t="s">
        <v>9</v>
      </c>
      <c r="E113">
        <v>27</v>
      </c>
      <c r="F113">
        <f>(B113+C113)/2</f>
        <v>26</v>
      </c>
      <c r="G113">
        <v>7</v>
      </c>
      <c r="H113">
        <f>F113*G113</f>
        <v>182</v>
      </c>
      <c r="I113">
        <f>F113*F113*G113</f>
        <v>4732</v>
      </c>
      <c r="J113">
        <f>(F113-$A$126)/$D$126</f>
        <v>-1.7277363128163876</v>
      </c>
      <c r="K113">
        <f>_xlfn.NORM.DIST(J113,0,1,0)</f>
        <v>8.9682922153946507E-2</v>
      </c>
      <c r="L113">
        <f>4*$G$122/$D$126*K113</f>
        <v>3.854438836936783</v>
      </c>
      <c r="M113">
        <f>POWER(G113-L113,2)/L113</f>
        <v>2.5670546217397145</v>
      </c>
    </row>
    <row r="114" spans="1:30" x14ac:dyDescent="0.3">
      <c r="A114">
        <v>2</v>
      </c>
      <c r="B114">
        <v>28</v>
      </c>
      <c r="C114">
        <v>32</v>
      </c>
      <c r="D114" t="s">
        <v>10</v>
      </c>
      <c r="E114">
        <v>31</v>
      </c>
      <c r="F114">
        <f t="shared" ref="F114:F121" si="11">(B114+C114)/2</f>
        <v>30</v>
      </c>
      <c r="G114">
        <v>10</v>
      </c>
      <c r="H114">
        <f t="shared" ref="H114:H120" si="12">F114*G114</f>
        <v>300</v>
      </c>
      <c r="I114">
        <f t="shared" ref="I114:I120" si="13">F114*F114*G114</f>
        <v>9000</v>
      </c>
      <c r="J114">
        <f t="shared" ref="J114:J121" si="14">(F114-$A$126)/$D$126</f>
        <v>-1.2979511603745002</v>
      </c>
      <c r="K114">
        <f t="shared" ref="K114:K120" si="15">_xlfn.NORM.DIST(J114,0,1,0)</f>
        <v>0.17182527859917776</v>
      </c>
      <c r="L114">
        <f t="shared" ref="L114:L120" si="16">4*$G$122/$D$126*K114</f>
        <v>7.3847953556117405</v>
      </c>
      <c r="M114">
        <f t="shared" ref="M114:M121" si="17">POWER(G114-L114,2)/L114</f>
        <v>0.92613200538220875</v>
      </c>
      <c r="AC114">
        <v>55</v>
      </c>
      <c r="AD114">
        <v>57</v>
      </c>
    </row>
    <row r="115" spans="1:30" x14ac:dyDescent="0.3">
      <c r="A115">
        <v>3</v>
      </c>
      <c r="B115">
        <v>32</v>
      </c>
      <c r="C115">
        <v>36</v>
      </c>
      <c r="D115" t="s">
        <v>11</v>
      </c>
      <c r="E115">
        <v>35</v>
      </c>
      <c r="F115">
        <f t="shared" si="11"/>
        <v>34</v>
      </c>
      <c r="G115">
        <v>12</v>
      </c>
      <c r="H115">
        <f t="shared" si="12"/>
        <v>408</v>
      </c>
      <c r="I115">
        <f t="shared" si="13"/>
        <v>13872</v>
      </c>
      <c r="J115">
        <f t="shared" si="14"/>
        <v>-0.86816600793261256</v>
      </c>
      <c r="K115">
        <f t="shared" si="15"/>
        <v>0.27368030007476429</v>
      </c>
      <c r="L115">
        <f t="shared" si="16"/>
        <v>11.762372948797408</v>
      </c>
      <c r="M115">
        <f t="shared" si="17"/>
        <v>4.8006142730759576E-3</v>
      </c>
      <c r="AC115">
        <v>0.92</v>
      </c>
      <c r="AD115">
        <v>0.92</v>
      </c>
    </row>
    <row r="116" spans="1:30" x14ac:dyDescent="0.3">
      <c r="A116">
        <v>4</v>
      </c>
      <c r="B116">
        <v>36</v>
      </c>
      <c r="C116">
        <v>40</v>
      </c>
      <c r="D116" t="s">
        <v>12</v>
      </c>
      <c r="E116">
        <v>39</v>
      </c>
      <c r="F116">
        <f t="shared" si="11"/>
        <v>38</v>
      </c>
      <c r="G116">
        <v>13</v>
      </c>
      <c r="H116">
        <f t="shared" si="12"/>
        <v>494</v>
      </c>
      <c r="I116">
        <f t="shared" si="13"/>
        <v>18772</v>
      </c>
      <c r="J116">
        <f t="shared" si="14"/>
        <v>-0.43838085549072509</v>
      </c>
      <c r="K116">
        <f t="shared" si="15"/>
        <v>0.36239249273643692</v>
      </c>
      <c r="L116">
        <f t="shared" si="16"/>
        <v>15.575091273452514</v>
      </c>
      <c r="M116">
        <f t="shared" si="17"/>
        <v>0.42574999723525758</v>
      </c>
    </row>
    <row r="117" spans="1:30" x14ac:dyDescent="0.3">
      <c r="A117">
        <v>5</v>
      </c>
      <c r="B117">
        <v>40</v>
      </c>
      <c r="C117">
        <v>44</v>
      </c>
      <c r="D117" t="s">
        <v>13</v>
      </c>
      <c r="E117">
        <v>43</v>
      </c>
      <c r="F117">
        <f t="shared" si="11"/>
        <v>42</v>
      </c>
      <c r="G117">
        <v>16</v>
      </c>
      <c r="H117">
        <f t="shared" si="12"/>
        <v>672</v>
      </c>
      <c r="I117">
        <f t="shared" si="13"/>
        <v>28224</v>
      </c>
      <c r="J117">
        <f t="shared" si="14"/>
        <v>-8.5957030488375673E-3</v>
      </c>
      <c r="K117">
        <f t="shared" si="15"/>
        <v>0.39892754252687845</v>
      </c>
      <c r="L117">
        <f t="shared" si="16"/>
        <v>17.145313467818202</v>
      </c>
      <c r="M117">
        <f t="shared" si="17"/>
        <v>7.6507375734360297E-2</v>
      </c>
      <c r="AC117">
        <v>57</v>
      </c>
      <c r="AD117">
        <v>58</v>
      </c>
    </row>
    <row r="118" spans="1:30" x14ac:dyDescent="0.3">
      <c r="A118">
        <v>6</v>
      </c>
      <c r="B118">
        <v>44</v>
      </c>
      <c r="C118">
        <v>48</v>
      </c>
      <c r="D118" t="s">
        <v>14</v>
      </c>
      <c r="E118">
        <v>47</v>
      </c>
      <c r="F118">
        <f t="shared" si="11"/>
        <v>46</v>
      </c>
      <c r="G118">
        <v>12</v>
      </c>
      <c r="H118">
        <f t="shared" si="12"/>
        <v>552</v>
      </c>
      <c r="I118">
        <f t="shared" si="13"/>
        <v>25392</v>
      </c>
      <c r="J118">
        <f t="shared" si="14"/>
        <v>0.42118944939304997</v>
      </c>
      <c r="K118">
        <f t="shared" si="15"/>
        <v>0.36507998612286319</v>
      </c>
      <c r="L118">
        <f t="shared" si="16"/>
        <v>15.690595748929692</v>
      </c>
      <c r="M118">
        <f t="shared" si="17"/>
        <v>0.8680675482284993</v>
      </c>
      <c r="AC118">
        <v>0.94</v>
      </c>
      <c r="AD118">
        <v>0.94</v>
      </c>
    </row>
    <row r="119" spans="1:30" x14ac:dyDescent="0.3">
      <c r="A119">
        <v>7</v>
      </c>
      <c r="B119">
        <v>48</v>
      </c>
      <c r="C119">
        <v>52</v>
      </c>
      <c r="D119" t="s">
        <v>15</v>
      </c>
      <c r="E119">
        <v>51</v>
      </c>
      <c r="F119">
        <f t="shared" si="11"/>
        <v>50</v>
      </c>
      <c r="G119">
        <v>13</v>
      </c>
      <c r="H119">
        <f t="shared" si="12"/>
        <v>650</v>
      </c>
      <c r="I119">
        <f t="shared" si="13"/>
        <v>32500</v>
      </c>
      <c r="J119">
        <f t="shared" si="14"/>
        <v>0.85097460183493745</v>
      </c>
      <c r="K119">
        <f t="shared" si="15"/>
        <v>0.27775456368487633</v>
      </c>
      <c r="L119">
        <f t="shared" si="16"/>
        <v>11.937478749473453</v>
      </c>
      <c r="M119">
        <f t="shared" si="17"/>
        <v>9.45720140335575E-2</v>
      </c>
    </row>
    <row r="120" spans="1:30" x14ac:dyDescent="0.3">
      <c r="A120">
        <v>8</v>
      </c>
      <c r="B120">
        <v>52</v>
      </c>
      <c r="C120">
        <v>56</v>
      </c>
      <c r="D120" t="s">
        <v>16</v>
      </c>
      <c r="E120">
        <v>55</v>
      </c>
      <c r="F120">
        <f t="shared" si="11"/>
        <v>54</v>
      </c>
      <c r="G120">
        <v>9</v>
      </c>
      <c r="H120">
        <f t="shared" si="12"/>
        <v>486</v>
      </c>
      <c r="I120">
        <f t="shared" si="13"/>
        <v>26244</v>
      </c>
      <c r="J120">
        <f t="shared" si="14"/>
        <v>1.280759754276825</v>
      </c>
      <c r="K120">
        <f t="shared" si="15"/>
        <v>0.17567645364840462</v>
      </c>
      <c r="L120">
        <f t="shared" si="16"/>
        <v>7.5503131411729765</v>
      </c>
      <c r="M120">
        <f t="shared" si="17"/>
        <v>0.27834501024804786</v>
      </c>
      <c r="AC120">
        <v>58</v>
      </c>
      <c r="AD120">
        <v>59</v>
      </c>
    </row>
    <row r="121" spans="1:30" x14ac:dyDescent="0.3">
      <c r="A121">
        <v>9</v>
      </c>
      <c r="B121">
        <v>56</v>
      </c>
      <c r="C121">
        <v>60</v>
      </c>
      <c r="D121" t="s">
        <v>17</v>
      </c>
      <c r="E121">
        <v>60</v>
      </c>
      <c r="F121">
        <f t="shared" si="11"/>
        <v>58</v>
      </c>
      <c r="G121">
        <v>8</v>
      </c>
      <c r="H121">
        <f>F121*G121</f>
        <v>464</v>
      </c>
      <c r="I121">
        <f>F121*F121*G121</f>
        <v>26912</v>
      </c>
      <c r="J121">
        <f t="shared" si="14"/>
        <v>1.7105449067187124</v>
      </c>
      <c r="K121">
        <f>_xlfn.NORM.DIST(J121,0,1,0)</f>
        <v>9.2373007267204502E-2</v>
      </c>
      <c r="L121">
        <f>4*$G$122/$D$126*K121</f>
        <v>3.9700547009851066</v>
      </c>
      <c r="M121">
        <f t="shared" si="17"/>
        <v>4.0907393817577438</v>
      </c>
      <c r="AC121">
        <v>0.96</v>
      </c>
      <c r="AD121">
        <v>0.96</v>
      </c>
    </row>
    <row r="122" spans="1:30" x14ac:dyDescent="0.3">
      <c r="B122" t="s">
        <v>71</v>
      </c>
      <c r="G122">
        <f>SUM(G113:G121)</f>
        <v>100</v>
      </c>
      <c r="H122">
        <f>SUM(H113:H121)</f>
        <v>4208</v>
      </c>
      <c r="I122">
        <f>SUM(I113:I121)</f>
        <v>185648</v>
      </c>
      <c r="J122" t="s">
        <v>75</v>
      </c>
      <c r="M122">
        <f>SUM(M113:M121)</f>
        <v>9.3319685686324654</v>
      </c>
    </row>
    <row r="123" spans="1:30" x14ac:dyDescent="0.3">
      <c r="AC123">
        <v>59</v>
      </c>
      <c r="AD123">
        <v>60</v>
      </c>
    </row>
    <row r="124" spans="1:30" x14ac:dyDescent="0.3">
      <c r="AC124">
        <v>0.98</v>
      </c>
      <c r="AD124">
        <v>0.98</v>
      </c>
    </row>
    <row r="125" spans="1:30" x14ac:dyDescent="0.3">
      <c r="A125" t="s">
        <v>66</v>
      </c>
      <c r="D125" t="s">
        <v>67</v>
      </c>
      <c r="H125" t="s">
        <v>73</v>
      </c>
      <c r="K125" t="s">
        <v>74</v>
      </c>
      <c r="P125" t="s">
        <v>131</v>
      </c>
    </row>
    <row r="126" spans="1:30" x14ac:dyDescent="0.3">
      <c r="A126">
        <f>H122/100</f>
        <v>42.08</v>
      </c>
      <c r="D126">
        <f>SQRT((I122/G122-A126*A126)*100/99)</f>
        <v>9.3069757698082682</v>
      </c>
      <c r="H126">
        <v>2.5000000000000001E-2</v>
      </c>
      <c r="K126">
        <f>9-2-1</f>
        <v>6</v>
      </c>
      <c r="P126">
        <f>CHIINV(0.025,6)</f>
        <v>14.449375335447922</v>
      </c>
      <c r="AC126">
        <v>60</v>
      </c>
      <c r="AD126">
        <v>70</v>
      </c>
    </row>
    <row r="127" spans="1:30" x14ac:dyDescent="0.3">
      <c r="AC127">
        <v>1</v>
      </c>
      <c r="AD127">
        <v>1</v>
      </c>
    </row>
    <row r="128" spans="1:30" x14ac:dyDescent="0.3">
      <c r="A128" t="s">
        <v>99</v>
      </c>
    </row>
    <row r="129" spans="1:41" x14ac:dyDescent="0.3">
      <c r="N129">
        <v>24</v>
      </c>
      <c r="O129">
        <v>24</v>
      </c>
      <c r="P129">
        <v>28</v>
      </c>
      <c r="Q129">
        <v>28</v>
      </c>
      <c r="R129">
        <v>28</v>
      </c>
      <c r="S129">
        <v>32</v>
      </c>
      <c r="T129">
        <v>32</v>
      </c>
      <c r="U129">
        <v>32</v>
      </c>
      <c r="V129">
        <v>36</v>
      </c>
      <c r="W129">
        <v>36</v>
      </c>
      <c r="X129">
        <v>36</v>
      </c>
      <c r="Y129">
        <v>40</v>
      </c>
      <c r="Z129">
        <v>40</v>
      </c>
      <c r="AA129">
        <v>40</v>
      </c>
      <c r="AB129">
        <v>44</v>
      </c>
      <c r="AC129">
        <v>44</v>
      </c>
      <c r="AD129">
        <v>44</v>
      </c>
      <c r="AE129">
        <v>48</v>
      </c>
      <c r="AF129">
        <v>48</v>
      </c>
      <c r="AG129">
        <v>48</v>
      </c>
      <c r="AH129">
        <v>52</v>
      </c>
      <c r="AI129">
        <v>52</v>
      </c>
      <c r="AJ129">
        <v>52</v>
      </c>
      <c r="AK129">
        <v>56</v>
      </c>
      <c r="AL129">
        <v>56</v>
      </c>
      <c r="AM129">
        <v>56</v>
      </c>
      <c r="AN129">
        <v>60</v>
      </c>
      <c r="AO129">
        <v>60</v>
      </c>
    </row>
    <row r="130" spans="1:41" x14ac:dyDescent="0.3">
      <c r="N130">
        <v>0</v>
      </c>
      <c r="O130">
        <v>7</v>
      </c>
      <c r="P130">
        <v>7</v>
      </c>
      <c r="Q130">
        <v>0</v>
      </c>
      <c r="R130">
        <v>10</v>
      </c>
      <c r="S130">
        <v>10</v>
      </c>
      <c r="T130">
        <v>0</v>
      </c>
      <c r="U130">
        <v>12</v>
      </c>
      <c r="V130">
        <v>12</v>
      </c>
      <c r="W130">
        <v>0</v>
      </c>
      <c r="X130">
        <v>13</v>
      </c>
      <c r="Y130">
        <v>13</v>
      </c>
      <c r="Z130">
        <v>0</v>
      </c>
      <c r="AA130">
        <v>16</v>
      </c>
      <c r="AB130">
        <v>16</v>
      </c>
      <c r="AC130">
        <v>0</v>
      </c>
      <c r="AD130">
        <v>12</v>
      </c>
      <c r="AE130">
        <v>12</v>
      </c>
      <c r="AF130">
        <v>0</v>
      </c>
      <c r="AG130">
        <v>13</v>
      </c>
      <c r="AH130">
        <v>13</v>
      </c>
      <c r="AI130">
        <v>0</v>
      </c>
      <c r="AJ130">
        <v>9</v>
      </c>
      <c r="AK130">
        <v>9</v>
      </c>
      <c r="AL130">
        <v>0</v>
      </c>
      <c r="AM130">
        <v>8</v>
      </c>
      <c r="AN130">
        <v>8</v>
      </c>
      <c r="AO130">
        <v>0</v>
      </c>
    </row>
    <row r="131" spans="1:41" x14ac:dyDescent="0.3">
      <c r="A131" t="s">
        <v>77</v>
      </c>
      <c r="D131" s="1" t="s">
        <v>78</v>
      </c>
    </row>
    <row r="132" spans="1:41" x14ac:dyDescent="0.3">
      <c r="D132" t="s">
        <v>79</v>
      </c>
      <c r="E132">
        <v>0.9</v>
      </c>
      <c r="G132" t="s">
        <v>76</v>
      </c>
    </row>
    <row r="133" spans="1:41" x14ac:dyDescent="0.3">
      <c r="D133" t="s">
        <v>80</v>
      </c>
      <c r="E133">
        <v>100</v>
      </c>
      <c r="G133">
        <f>E135-E136*E134/SQRT(E133)</f>
        <v>40.530988295718842</v>
      </c>
    </row>
    <row r="134" spans="1:41" x14ac:dyDescent="0.3">
      <c r="D134" t="s">
        <v>87</v>
      </c>
      <c r="E134">
        <f>A83</f>
        <v>9.3879497229160798</v>
      </c>
    </row>
    <row r="135" spans="1:41" x14ac:dyDescent="0.3">
      <c r="D135" t="s">
        <v>81</v>
      </c>
      <c r="E135">
        <f>A126</f>
        <v>42.08</v>
      </c>
      <c r="G135" t="s">
        <v>93</v>
      </c>
    </row>
    <row r="136" spans="1:41" x14ac:dyDescent="0.3">
      <c r="D136" t="s">
        <v>83</v>
      </c>
      <c r="E136">
        <v>1.65</v>
      </c>
      <c r="G136">
        <f>E135+E136*E134/SQRT(E133)</f>
        <v>43.629011704281154</v>
      </c>
    </row>
    <row r="137" spans="1:41" x14ac:dyDescent="0.3">
      <c r="D137" t="s">
        <v>84</v>
      </c>
    </row>
    <row r="138" spans="1:41" x14ac:dyDescent="0.3">
      <c r="D138" t="s">
        <v>85</v>
      </c>
      <c r="F138">
        <f>G133</f>
        <v>40.530988295718842</v>
      </c>
      <c r="G138" t="s">
        <v>101</v>
      </c>
      <c r="H138">
        <f>G136</f>
        <v>43.629011704281154</v>
      </c>
    </row>
    <row r="143" spans="1:41" x14ac:dyDescent="0.3">
      <c r="D143" s="1" t="s">
        <v>86</v>
      </c>
    </row>
    <row r="144" spans="1:41" x14ac:dyDescent="0.3">
      <c r="D144" t="s">
        <v>79</v>
      </c>
      <c r="E144">
        <v>0.9</v>
      </c>
    </row>
    <row r="145" spans="4:5" x14ac:dyDescent="0.3">
      <c r="D145" t="s">
        <v>80</v>
      </c>
      <c r="E145">
        <v>100</v>
      </c>
    </row>
    <row r="146" spans="4:5" x14ac:dyDescent="0.3">
      <c r="D146" t="s">
        <v>88</v>
      </c>
      <c r="E146">
        <f>E75</f>
        <v>88.133600000000115</v>
      </c>
    </row>
    <row r="148" spans="4:5" x14ac:dyDescent="0.3">
      <c r="D148" t="s">
        <v>89</v>
      </c>
    </row>
    <row r="149" spans="4:5" x14ac:dyDescent="0.3">
      <c r="D149" t="s">
        <v>90</v>
      </c>
      <c r="E149">
        <f>E146*100/99</f>
        <v>89.023838383838495</v>
      </c>
    </row>
    <row r="150" spans="4:5" x14ac:dyDescent="0.3">
      <c r="D150" t="s">
        <v>91</v>
      </c>
      <c r="E150">
        <f>SQRT(E149)</f>
        <v>9.4352444792829022</v>
      </c>
    </row>
    <row r="152" spans="4:5" x14ac:dyDescent="0.3">
      <c r="D152" t="s">
        <v>92</v>
      </c>
    </row>
    <row r="153" spans="4:5" x14ac:dyDescent="0.3">
      <c r="D153" t="s">
        <v>94</v>
      </c>
      <c r="E153">
        <f>(1-E144)/2</f>
        <v>4.9999999999999989E-2</v>
      </c>
    </row>
    <row r="154" spans="4:5" x14ac:dyDescent="0.3">
      <c r="D154" t="s">
        <v>95</v>
      </c>
      <c r="E154">
        <f>(1+E144)/2</f>
        <v>0.95</v>
      </c>
    </row>
    <row r="155" spans="4:5" x14ac:dyDescent="0.3">
      <c r="D155" t="s">
        <v>96</v>
      </c>
      <c r="E155">
        <f>E145-1</f>
        <v>99</v>
      </c>
    </row>
    <row r="157" spans="4:5" x14ac:dyDescent="0.3">
      <c r="D157" t="s">
        <v>97</v>
      </c>
      <c r="E157">
        <f>CHIINV(E153,E155)</f>
        <v>123.22522145336181</v>
      </c>
    </row>
    <row r="158" spans="4:5" x14ac:dyDescent="0.3">
      <c r="D158" t="s">
        <v>98</v>
      </c>
      <c r="E158">
        <f>CHIINV(E154,E155)</f>
        <v>77.046331863760287</v>
      </c>
    </row>
    <row r="160" spans="4:5" x14ac:dyDescent="0.3">
      <c r="D160" t="s">
        <v>76</v>
      </c>
    </row>
    <row r="161" spans="4:8" x14ac:dyDescent="0.3">
      <c r="D161">
        <f>SQRT(E145-1)*E150/SQRT(E157)</f>
        <v>8.4570899815851703</v>
      </c>
    </row>
    <row r="163" spans="4:8" x14ac:dyDescent="0.3">
      <c r="D163" t="s">
        <v>82</v>
      </c>
    </row>
    <row r="164" spans="4:8" x14ac:dyDescent="0.3">
      <c r="D164">
        <f>SQRT(E145-1)*E150/SQRT(E158)</f>
        <v>10.695344344592884</v>
      </c>
    </row>
    <row r="166" spans="4:8" x14ac:dyDescent="0.3">
      <c r="D166" t="s">
        <v>100</v>
      </c>
      <c r="F166">
        <f>D161</f>
        <v>8.4570899815851703</v>
      </c>
      <c r="G166" t="s">
        <v>102</v>
      </c>
      <c r="H166">
        <f>D164</f>
        <v>10.695344344592884</v>
      </c>
    </row>
  </sheetData>
  <sortState ref="A15:A114">
    <sortCondition ref="A15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N15" workbookViewId="0">
      <selection activeCell="U27" sqref="U27"/>
    </sheetView>
  </sheetViews>
  <sheetFormatPr defaultRowHeight="14.4" x14ac:dyDescent="0.3"/>
  <sheetData>
    <row r="1" spans="1:26" x14ac:dyDescent="0.3">
      <c r="A1" s="2" t="s">
        <v>103</v>
      </c>
      <c r="B1" s="2">
        <v>20</v>
      </c>
      <c r="C1">
        <v>40</v>
      </c>
      <c r="D1">
        <v>60</v>
      </c>
      <c r="E1" s="2">
        <v>80</v>
      </c>
      <c r="F1">
        <v>100</v>
      </c>
      <c r="G1">
        <v>120</v>
      </c>
      <c r="H1" s="2">
        <v>140</v>
      </c>
      <c r="I1">
        <v>160</v>
      </c>
      <c r="J1" t="s">
        <v>105</v>
      </c>
      <c r="L1" t="s">
        <v>119</v>
      </c>
      <c r="U1" t="s">
        <v>122</v>
      </c>
    </row>
    <row r="2" spans="1:26" x14ac:dyDescent="0.3">
      <c r="A2" s="2">
        <v>1000</v>
      </c>
      <c r="B2" s="2">
        <v>2</v>
      </c>
      <c r="C2">
        <v>7</v>
      </c>
      <c r="D2">
        <v>3</v>
      </c>
      <c r="J2">
        <v>12</v>
      </c>
      <c r="L2">
        <f>$A2*B$1*B2</f>
        <v>40000</v>
      </c>
      <c r="M2">
        <f t="shared" ref="M2:S2" si="0">$A2*C$1*C2</f>
        <v>280000</v>
      </c>
      <c r="N2">
        <f t="shared" si="0"/>
        <v>180000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U2">
        <f>(M10-M14*M20)/L17/L23</f>
        <v>0.88989082619752458</v>
      </c>
    </row>
    <row r="3" spans="1:26" x14ac:dyDescent="0.3">
      <c r="A3">
        <v>2000</v>
      </c>
      <c r="C3">
        <v>6</v>
      </c>
      <c r="D3">
        <v>4</v>
      </c>
      <c r="E3">
        <v>5</v>
      </c>
      <c r="J3">
        <v>15</v>
      </c>
      <c r="L3">
        <f t="shared" ref="L3:L7" si="1">$A3*B$1*B3</f>
        <v>0</v>
      </c>
      <c r="M3">
        <f t="shared" ref="M3:M7" si="2">$A3*C$1*C3</f>
        <v>480000</v>
      </c>
      <c r="N3">
        <f>$A3*D$1*D3</f>
        <v>480000</v>
      </c>
      <c r="O3">
        <f t="shared" ref="O3:O7" si="3">$A3*E$1*E3</f>
        <v>800000</v>
      </c>
      <c r="P3">
        <f t="shared" ref="P3:P7" si="4">$A3*F$1*F3</f>
        <v>0</v>
      </c>
      <c r="Q3">
        <f t="shared" ref="Q3:Q7" si="5">$A3*G$1*G3</f>
        <v>0</v>
      </c>
      <c r="R3">
        <f t="shared" ref="R3:R7" si="6">$A3*H$1*H3</f>
        <v>0</v>
      </c>
      <c r="S3">
        <f t="shared" ref="S3:S7" si="7">$A3*I$1*I3</f>
        <v>0</v>
      </c>
    </row>
    <row r="4" spans="1:26" x14ac:dyDescent="0.3">
      <c r="A4">
        <v>3000</v>
      </c>
      <c r="D4">
        <v>8</v>
      </c>
      <c r="E4">
        <v>9</v>
      </c>
      <c r="F4">
        <v>7</v>
      </c>
      <c r="J4">
        <v>24</v>
      </c>
      <c r="L4">
        <f t="shared" si="1"/>
        <v>0</v>
      </c>
      <c r="M4">
        <f t="shared" si="2"/>
        <v>0</v>
      </c>
      <c r="N4">
        <f t="shared" ref="N4:N7" si="8">$A4*D$1*D4</f>
        <v>1440000</v>
      </c>
      <c r="O4">
        <f t="shared" si="3"/>
        <v>2160000</v>
      </c>
      <c r="P4">
        <f t="shared" si="4"/>
        <v>2100000</v>
      </c>
      <c r="Q4">
        <f t="shared" si="5"/>
        <v>0</v>
      </c>
      <c r="R4">
        <f t="shared" si="6"/>
        <v>0</v>
      </c>
      <c r="S4">
        <f t="shared" si="7"/>
        <v>0</v>
      </c>
    </row>
    <row r="5" spans="1:26" x14ac:dyDescent="0.3">
      <c r="A5">
        <v>4000</v>
      </c>
      <c r="E5">
        <v>7</v>
      </c>
      <c r="F5">
        <v>14</v>
      </c>
      <c r="G5">
        <v>5</v>
      </c>
      <c r="J5">
        <v>26</v>
      </c>
      <c r="L5">
        <f t="shared" si="1"/>
        <v>0</v>
      </c>
      <c r="M5">
        <f t="shared" si="2"/>
        <v>0</v>
      </c>
      <c r="N5">
        <f t="shared" si="8"/>
        <v>0</v>
      </c>
      <c r="O5">
        <f t="shared" si="3"/>
        <v>2240000</v>
      </c>
      <c r="P5">
        <f t="shared" si="4"/>
        <v>5600000</v>
      </c>
      <c r="Q5">
        <f t="shared" si="5"/>
        <v>2400000</v>
      </c>
      <c r="R5">
        <f t="shared" si="6"/>
        <v>0</v>
      </c>
      <c r="S5">
        <f t="shared" si="7"/>
        <v>0</v>
      </c>
      <c r="U5" t="s">
        <v>121</v>
      </c>
    </row>
    <row r="6" spans="1:26" x14ac:dyDescent="0.3">
      <c r="A6">
        <v>5000</v>
      </c>
      <c r="F6">
        <v>5</v>
      </c>
      <c r="G6">
        <v>7</v>
      </c>
      <c r="H6">
        <v>4</v>
      </c>
      <c r="J6">
        <v>16</v>
      </c>
      <c r="L6">
        <f t="shared" si="1"/>
        <v>0</v>
      </c>
      <c r="M6">
        <f t="shared" si="2"/>
        <v>0</v>
      </c>
      <c r="N6">
        <f t="shared" si="8"/>
        <v>0</v>
      </c>
      <c r="O6">
        <f t="shared" si="3"/>
        <v>0</v>
      </c>
      <c r="P6">
        <f>$A6*F$1*F6</f>
        <v>2500000</v>
      </c>
      <c r="Q6">
        <f t="shared" si="5"/>
        <v>4200000</v>
      </c>
      <c r="R6">
        <f t="shared" si="6"/>
        <v>2800000</v>
      </c>
      <c r="S6">
        <f t="shared" si="7"/>
        <v>0</v>
      </c>
    </row>
    <row r="7" spans="1:26" x14ac:dyDescent="0.3">
      <c r="A7">
        <v>6000</v>
      </c>
      <c r="H7">
        <v>4</v>
      </c>
      <c r="I7">
        <v>3</v>
      </c>
      <c r="J7">
        <v>7</v>
      </c>
      <c r="L7">
        <f t="shared" si="1"/>
        <v>0</v>
      </c>
      <c r="M7">
        <f t="shared" si="2"/>
        <v>0</v>
      </c>
      <c r="N7">
        <f t="shared" si="8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3360000</v>
      </c>
      <c r="S7">
        <f t="shared" si="7"/>
        <v>2880000</v>
      </c>
    </row>
    <row r="8" spans="1:26" x14ac:dyDescent="0.3">
      <c r="A8" t="s">
        <v>104</v>
      </c>
      <c r="B8">
        <v>2</v>
      </c>
      <c r="C8">
        <v>13</v>
      </c>
      <c r="D8">
        <v>15</v>
      </c>
      <c r="E8">
        <v>21</v>
      </c>
      <c r="F8">
        <v>26</v>
      </c>
      <c r="G8">
        <v>12</v>
      </c>
      <c r="H8">
        <v>8</v>
      </c>
      <c r="I8">
        <v>3</v>
      </c>
      <c r="J8">
        <v>100</v>
      </c>
      <c r="L8" t="s">
        <v>18</v>
      </c>
      <c r="M8">
        <f xml:space="preserve"> SUM(L2:S7)</f>
        <v>33940000</v>
      </c>
      <c r="U8" t="s">
        <v>123</v>
      </c>
      <c r="X8">
        <f>U2*L23/L17</f>
        <v>2.044E-2</v>
      </c>
    </row>
    <row r="10" spans="1:26" x14ac:dyDescent="0.3">
      <c r="L10" t="s">
        <v>120</v>
      </c>
      <c r="M10">
        <f>M8/J8</f>
        <v>339400</v>
      </c>
      <c r="U10" t="s">
        <v>124</v>
      </c>
      <c r="W10">
        <f>M20-X8*M14</f>
        <v>18.304000000000002</v>
      </c>
    </row>
    <row r="11" spans="1:26" x14ac:dyDescent="0.3">
      <c r="A11" t="s">
        <v>106</v>
      </c>
    </row>
    <row r="12" spans="1:26" x14ac:dyDescent="0.3">
      <c r="A12" t="s">
        <v>111</v>
      </c>
      <c r="U12" t="s">
        <v>125</v>
      </c>
    </row>
    <row r="13" spans="1:26" x14ac:dyDescent="0.3">
      <c r="A13" t="s">
        <v>2</v>
      </c>
      <c r="B13">
        <f>A2</f>
        <v>1000</v>
      </c>
      <c r="C13">
        <f xml:space="preserve"> A3</f>
        <v>2000</v>
      </c>
      <c r="D13">
        <f>A4</f>
        <v>3000</v>
      </c>
      <c r="E13">
        <f>A5</f>
        <v>4000</v>
      </c>
      <c r="F13">
        <f>A6</f>
        <v>5000</v>
      </c>
      <c r="G13">
        <f>A7</f>
        <v>6000</v>
      </c>
      <c r="H13" t="s">
        <v>109</v>
      </c>
    </row>
    <row r="14" spans="1:26" x14ac:dyDescent="0.3">
      <c r="A14" t="s">
        <v>105</v>
      </c>
      <c r="B14">
        <f>J2</f>
        <v>12</v>
      </c>
      <c r="C14">
        <f>J3</f>
        <v>15</v>
      </c>
      <c r="D14">
        <f>J4</f>
        <v>24</v>
      </c>
      <c r="E14">
        <f>J5</f>
        <v>26</v>
      </c>
      <c r="F14">
        <f>J6</f>
        <v>16</v>
      </c>
      <c r="G14">
        <f>J7</f>
        <v>7</v>
      </c>
      <c r="H14">
        <f>SUM(B14:G14)</f>
        <v>100</v>
      </c>
      <c r="L14" t="s">
        <v>112</v>
      </c>
      <c r="M14">
        <f>H15/H14</f>
        <v>3400</v>
      </c>
    </row>
    <row r="15" spans="1:26" x14ac:dyDescent="0.3">
      <c r="A15" t="s">
        <v>107</v>
      </c>
      <c r="B15">
        <f>B13*B14</f>
        <v>12000</v>
      </c>
      <c r="C15">
        <f t="shared" ref="C15:F15" si="9">C13*C14</f>
        <v>30000</v>
      </c>
      <c r="D15">
        <f t="shared" si="9"/>
        <v>72000</v>
      </c>
      <c r="E15">
        <f t="shared" si="9"/>
        <v>104000</v>
      </c>
      <c r="F15">
        <f t="shared" si="9"/>
        <v>80000</v>
      </c>
      <c r="G15">
        <f>G13*G14</f>
        <v>42000</v>
      </c>
      <c r="H15">
        <f t="shared" ref="H15:H16" si="10">SUM(B15:G15)</f>
        <v>340000</v>
      </c>
      <c r="U15">
        <v>1000</v>
      </c>
      <c r="V15">
        <v>2000</v>
      </c>
      <c r="W15">
        <v>3000</v>
      </c>
      <c r="X15">
        <v>4000</v>
      </c>
      <c r="Y15">
        <v>5000</v>
      </c>
      <c r="Z15">
        <v>6000</v>
      </c>
    </row>
    <row r="16" spans="1:26" x14ac:dyDescent="0.3">
      <c r="A16" t="s">
        <v>108</v>
      </c>
      <c r="B16">
        <f>B13*B13*B14</f>
        <v>12000000</v>
      </c>
      <c r="C16">
        <f t="shared" ref="C16:G16" si="11">C13*C13*C14</f>
        <v>60000000</v>
      </c>
      <c r="D16">
        <f t="shared" si="11"/>
        <v>216000000</v>
      </c>
      <c r="E16">
        <f t="shared" si="11"/>
        <v>416000000</v>
      </c>
      <c r="F16">
        <f t="shared" si="11"/>
        <v>400000000</v>
      </c>
      <c r="G16">
        <f t="shared" si="11"/>
        <v>252000000</v>
      </c>
      <c r="H16">
        <f t="shared" si="10"/>
        <v>1356000000</v>
      </c>
      <c r="L16" t="s">
        <v>113</v>
      </c>
      <c r="U16">
        <v>20</v>
      </c>
    </row>
    <row r="17" spans="1:26" x14ac:dyDescent="0.3">
      <c r="L17">
        <f>SQRT(H16/H14-M14*M14)</f>
        <v>1414.2135623730951</v>
      </c>
      <c r="U17">
        <v>40</v>
      </c>
      <c r="V17">
        <v>40</v>
      </c>
    </row>
    <row r="18" spans="1:26" x14ac:dyDescent="0.3">
      <c r="A18" t="s">
        <v>110</v>
      </c>
      <c r="U18">
        <v>60</v>
      </c>
      <c r="V18">
        <v>60</v>
      </c>
      <c r="W18">
        <v>60</v>
      </c>
    </row>
    <row r="19" spans="1:26" x14ac:dyDescent="0.3">
      <c r="A19" t="s">
        <v>116</v>
      </c>
      <c r="B19">
        <f>B1</f>
        <v>20</v>
      </c>
      <c r="C19">
        <f t="shared" ref="C19:I19" si="12">C1</f>
        <v>40</v>
      </c>
      <c r="D19">
        <f t="shared" si="12"/>
        <v>60</v>
      </c>
      <c r="E19">
        <f t="shared" si="12"/>
        <v>80</v>
      </c>
      <c r="F19">
        <f t="shared" si="12"/>
        <v>100</v>
      </c>
      <c r="G19">
        <f t="shared" si="12"/>
        <v>120</v>
      </c>
      <c r="H19">
        <f t="shared" si="12"/>
        <v>140</v>
      </c>
      <c r="I19">
        <f t="shared" si="12"/>
        <v>160</v>
      </c>
      <c r="J19" t="s">
        <v>109</v>
      </c>
      <c r="V19">
        <v>80</v>
      </c>
      <c r="W19">
        <v>80</v>
      </c>
      <c r="X19">
        <v>80</v>
      </c>
    </row>
    <row r="20" spans="1:26" x14ac:dyDescent="0.3">
      <c r="A20" t="s">
        <v>104</v>
      </c>
      <c r="B20">
        <f>B8</f>
        <v>2</v>
      </c>
      <c r="C20">
        <f t="shared" ref="C20:I20" si="13">C8</f>
        <v>13</v>
      </c>
      <c r="D20">
        <f t="shared" si="13"/>
        <v>15</v>
      </c>
      <c r="E20">
        <f t="shared" si="13"/>
        <v>21</v>
      </c>
      <c r="F20">
        <f t="shared" si="13"/>
        <v>26</v>
      </c>
      <c r="G20">
        <f t="shared" si="13"/>
        <v>12</v>
      </c>
      <c r="H20">
        <f t="shared" si="13"/>
        <v>8</v>
      </c>
      <c r="I20">
        <f t="shared" si="13"/>
        <v>3</v>
      </c>
      <c r="J20">
        <f>SUM(B20:I20)</f>
        <v>100</v>
      </c>
      <c r="L20" t="s">
        <v>114</v>
      </c>
      <c r="M20">
        <f>J21/J20</f>
        <v>87.8</v>
      </c>
      <c r="W20">
        <v>100</v>
      </c>
      <c r="X20">
        <v>100</v>
      </c>
      <c r="Y20">
        <v>100</v>
      </c>
    </row>
    <row r="21" spans="1:26" x14ac:dyDescent="0.3">
      <c r="A21" t="s">
        <v>117</v>
      </c>
      <c r="B21">
        <f>B19*B20</f>
        <v>40</v>
      </c>
      <c r="C21">
        <f t="shared" ref="C21:I21" si="14">C19*C20</f>
        <v>520</v>
      </c>
      <c r="D21">
        <f t="shared" si="14"/>
        <v>900</v>
      </c>
      <c r="E21">
        <f t="shared" si="14"/>
        <v>1680</v>
      </c>
      <c r="F21">
        <f t="shared" si="14"/>
        <v>2600</v>
      </c>
      <c r="G21">
        <f t="shared" si="14"/>
        <v>1440</v>
      </c>
      <c r="H21">
        <f t="shared" si="14"/>
        <v>1120</v>
      </c>
      <c r="I21">
        <f t="shared" si="14"/>
        <v>480</v>
      </c>
      <c r="J21">
        <f t="shared" ref="J21:J22" si="15">SUM(B21:I21)</f>
        <v>8780</v>
      </c>
      <c r="X21">
        <v>120</v>
      </c>
      <c r="Y21">
        <v>120</v>
      </c>
    </row>
    <row r="22" spans="1:26" x14ac:dyDescent="0.3">
      <c r="A22" t="s">
        <v>118</v>
      </c>
      <c r="B22">
        <f>B21*B19</f>
        <v>800</v>
      </c>
      <c r="C22">
        <f t="shared" ref="C22:I22" si="16">C21*C19</f>
        <v>20800</v>
      </c>
      <c r="D22">
        <f t="shared" si="16"/>
        <v>54000</v>
      </c>
      <c r="E22">
        <f t="shared" si="16"/>
        <v>134400</v>
      </c>
      <c r="F22">
        <f t="shared" si="16"/>
        <v>260000</v>
      </c>
      <c r="G22">
        <f t="shared" si="16"/>
        <v>172800</v>
      </c>
      <c r="H22">
        <f t="shared" si="16"/>
        <v>156800</v>
      </c>
      <c r="I22">
        <f t="shared" si="16"/>
        <v>76800</v>
      </c>
      <c r="J22">
        <f t="shared" si="15"/>
        <v>876400</v>
      </c>
      <c r="L22" t="s">
        <v>115</v>
      </c>
      <c r="Y22">
        <v>140</v>
      </c>
      <c r="Z22">
        <v>140</v>
      </c>
    </row>
    <row r="23" spans="1:26" x14ac:dyDescent="0.3">
      <c r="L23">
        <f>SQRT(J22/J20-M20*M20)</f>
        <v>32.483226440734008</v>
      </c>
      <c r="Z23">
        <v>160</v>
      </c>
    </row>
    <row r="26" spans="1:26" x14ac:dyDescent="0.3">
      <c r="U26">
        <v>500</v>
      </c>
      <c r="V26">
        <v>7000</v>
      </c>
    </row>
    <row r="27" spans="1:26" x14ac:dyDescent="0.3">
      <c r="U27">
        <f>X8*U26+W10</f>
        <v>28.524000000000001</v>
      </c>
      <c r="V27">
        <f>X8*V26+W10</f>
        <v>161.38400000000001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2023-01-08T15:29:13Z</dcterms:modified>
</cp:coreProperties>
</file>