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lectrical-engineering\2lab\"/>
    </mc:Choice>
  </mc:AlternateContent>
  <xr:revisionPtr revIDLastSave="0" documentId="13_ncr:1_{947B2668-16CA-44F1-BC05-2629E255C85F}" xr6:coauthVersionLast="47" xr6:coauthVersionMax="47" xr10:uidLastSave="{00000000-0000-0000-0000-000000000000}"/>
  <bookViews>
    <workbookView xWindow="-110" yWindow="-110" windowWidth="19420" windowHeight="11020" xr2:uid="{0FDBAD3E-B7A5-4F77-8336-6CE2C6459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2" i="1" l="1"/>
  <c r="I59" i="1"/>
  <c r="I58" i="1"/>
  <c r="I57" i="1"/>
  <c r="I56" i="1"/>
  <c r="I54" i="1"/>
  <c r="I53" i="1"/>
  <c r="I52" i="1"/>
  <c r="I51" i="1"/>
  <c r="I55" i="1"/>
  <c r="AB49" i="1"/>
  <c r="AB50" i="1"/>
  <c r="AB51" i="1"/>
  <c r="AB53" i="1"/>
  <c r="AB54" i="1"/>
  <c r="AB55" i="1"/>
  <c r="AB56" i="1"/>
  <c r="AB48" i="1"/>
  <c r="AA49" i="1"/>
  <c r="AA50" i="1"/>
  <c r="AA51" i="1"/>
  <c r="AA52" i="1"/>
  <c r="AA53" i="1"/>
  <c r="AA54" i="1"/>
  <c r="AA55" i="1"/>
  <c r="AA56" i="1"/>
  <c r="AA48" i="1"/>
  <c r="Z49" i="1"/>
  <c r="Z50" i="1"/>
  <c r="Z51" i="1"/>
  <c r="Z52" i="1"/>
  <c r="Z53" i="1"/>
  <c r="Z54" i="1"/>
  <c r="Z55" i="1"/>
  <c r="Z56" i="1"/>
  <c r="Z48" i="1"/>
  <c r="Y49" i="1"/>
  <c r="Y50" i="1"/>
  <c r="Y51" i="1"/>
  <c r="Y52" i="1"/>
  <c r="Y53" i="1"/>
  <c r="Y54" i="1"/>
  <c r="Y55" i="1"/>
  <c r="Y56" i="1"/>
  <c r="Y48" i="1"/>
  <c r="X49" i="1"/>
  <c r="X50" i="1"/>
  <c r="X51" i="1"/>
  <c r="X52" i="1"/>
  <c r="X53" i="1"/>
  <c r="X54" i="1"/>
  <c r="X55" i="1"/>
  <c r="X56" i="1"/>
  <c r="X48" i="1"/>
  <c r="W49" i="1"/>
  <c r="W50" i="1"/>
  <c r="W51" i="1"/>
  <c r="W52" i="1"/>
  <c r="W53" i="1"/>
  <c r="W54" i="1"/>
  <c r="W55" i="1"/>
  <c r="W56" i="1"/>
  <c r="W48" i="1"/>
  <c r="V49" i="1"/>
  <c r="V50" i="1"/>
  <c r="V51" i="1"/>
  <c r="V52" i="1"/>
  <c r="V53" i="1"/>
  <c r="V54" i="1"/>
  <c r="V55" i="1"/>
  <c r="V56" i="1"/>
  <c r="V48" i="1"/>
  <c r="U49" i="1"/>
  <c r="U50" i="1"/>
  <c r="U53" i="1"/>
  <c r="U54" i="1"/>
  <c r="U48" i="1"/>
  <c r="T50" i="1"/>
  <c r="T52" i="1"/>
  <c r="S49" i="1"/>
  <c r="S50" i="1"/>
  <c r="S51" i="1"/>
  <c r="U51" i="1" s="1"/>
  <c r="S52" i="1"/>
  <c r="U52" i="1" s="1"/>
  <c r="S53" i="1"/>
  <c r="S54" i="1"/>
  <c r="S55" i="1"/>
  <c r="U55" i="1" s="1"/>
  <c r="S56" i="1"/>
  <c r="U56" i="1" s="1"/>
  <c r="S48" i="1"/>
  <c r="R49" i="1"/>
  <c r="T49" i="1" s="1"/>
  <c r="R50" i="1"/>
  <c r="R51" i="1"/>
  <c r="T51" i="1" s="1"/>
  <c r="R52" i="1"/>
  <c r="R53" i="1"/>
  <c r="T53" i="1" s="1"/>
  <c r="R54" i="1"/>
  <c r="T54" i="1" s="1"/>
  <c r="R55" i="1"/>
  <c r="T55" i="1" s="1"/>
  <c r="R56" i="1"/>
  <c r="T56" i="1" s="1"/>
  <c r="R48" i="1"/>
  <c r="T48" i="1" s="1"/>
  <c r="I22" i="1"/>
  <c r="I23" i="1"/>
  <c r="I24" i="1"/>
  <c r="I25" i="1"/>
  <c r="I27" i="1"/>
  <c r="I28" i="1"/>
  <c r="I30" i="1"/>
  <c r="I29" i="1"/>
  <c r="P43" i="1"/>
  <c r="P36" i="1"/>
  <c r="P37" i="1"/>
  <c r="P38" i="1"/>
  <c r="P39" i="1"/>
  <c r="P40" i="1"/>
  <c r="P41" i="1"/>
  <c r="P42" i="1"/>
  <c r="P35" i="1"/>
  <c r="S36" i="1"/>
  <c r="S37" i="1"/>
  <c r="S38" i="1"/>
  <c r="S39" i="1"/>
  <c r="S40" i="1"/>
  <c r="S41" i="1"/>
  <c r="S42" i="1"/>
  <c r="S43" i="1"/>
  <c r="S35" i="1"/>
  <c r="M36" i="1"/>
  <c r="M37" i="1"/>
  <c r="M38" i="1"/>
  <c r="M39" i="1"/>
  <c r="M40" i="1"/>
  <c r="M41" i="1"/>
  <c r="M42" i="1"/>
  <c r="M43" i="1"/>
  <c r="M35" i="1"/>
  <c r="M26" i="1"/>
  <c r="M27" i="1"/>
  <c r="M28" i="1"/>
  <c r="M29" i="1"/>
  <c r="M30" i="1"/>
  <c r="M31" i="1"/>
  <c r="M32" i="1"/>
  <c r="M33" i="1"/>
  <c r="M25" i="1"/>
  <c r="O15" i="1"/>
  <c r="N15" i="1"/>
  <c r="U15" i="1"/>
  <c r="S15" i="1"/>
  <c r="R15" i="1"/>
  <c r="Q15" i="1"/>
  <c r="M15" i="1"/>
  <c r="O14" i="1"/>
  <c r="N14" i="1"/>
  <c r="M14" i="1"/>
  <c r="M13" i="1"/>
  <c r="O13" i="1"/>
  <c r="O12" i="1"/>
  <c r="N13" i="1"/>
  <c r="N12" i="1"/>
  <c r="M12" i="1"/>
  <c r="N11" i="1"/>
  <c r="M11" i="1"/>
  <c r="N10" i="1"/>
  <c r="M10" i="1"/>
  <c r="N9" i="1"/>
</calcChain>
</file>

<file path=xl/sharedStrings.xml><?xml version="1.0" encoding="utf-8"?>
<sst xmlns="http://schemas.openxmlformats.org/spreadsheetml/2006/main" count="120" uniqueCount="55">
  <si>
    <t>Номер схемы цепи</t>
  </si>
  <si>
    <t>Параметры двухполюсников</t>
  </si>
  <si>
    <t>Результаты измерений</t>
  </si>
  <si>
    <t>Результаты вычислений</t>
  </si>
  <si>
    <t>R_l</t>
  </si>
  <si>
    <t>R_k</t>
  </si>
  <si>
    <t>L</t>
  </si>
  <si>
    <t>C</t>
  </si>
  <si>
    <t>U</t>
  </si>
  <si>
    <t>I</t>
  </si>
  <si>
    <t>phi</t>
  </si>
  <si>
    <t>Ом</t>
  </si>
  <si>
    <t>нФ</t>
  </si>
  <si>
    <t>В</t>
  </si>
  <si>
    <t>А</t>
  </si>
  <si>
    <t>град</t>
  </si>
  <si>
    <t>-</t>
  </si>
  <si>
    <t>мА</t>
  </si>
  <si>
    <t>мГн</t>
  </si>
  <si>
    <t>X_l</t>
  </si>
  <si>
    <t>G_l</t>
  </si>
  <si>
    <t>G_k</t>
  </si>
  <si>
    <t>B_l</t>
  </si>
  <si>
    <t>B_k</t>
  </si>
  <si>
    <t>f</t>
  </si>
  <si>
    <t>Расчет</t>
  </si>
  <si>
    <t>Эксперимент</t>
  </si>
  <si>
    <t>Гц</t>
  </si>
  <si>
    <t>f_0</t>
  </si>
  <si>
    <t>0.1 f_0 = 74</t>
  </si>
  <si>
    <t>0.25 f_0 = 186</t>
  </si>
  <si>
    <t>0.5 f_0 = 371</t>
  </si>
  <si>
    <t>0.75 f_0 = 557</t>
  </si>
  <si>
    <t>f_0 = 743</t>
  </si>
  <si>
    <t>1.25 f_0 = 929</t>
  </si>
  <si>
    <t>1.5 f_0 = 1114</t>
  </si>
  <si>
    <t>1.75 f_0 = 1300</t>
  </si>
  <si>
    <t>2 f_0 = 1486</t>
  </si>
  <si>
    <t>R</t>
  </si>
  <si>
    <t>V</t>
  </si>
  <si>
    <t>Ohm</t>
  </si>
  <si>
    <t>mH</t>
  </si>
  <si>
    <t>nF</t>
  </si>
  <si>
    <t>Hz</t>
  </si>
  <si>
    <t>X</t>
  </si>
  <si>
    <t>Z</t>
  </si>
  <si>
    <t>x_c</t>
  </si>
  <si>
    <t>x_l</t>
  </si>
  <si>
    <t>g_l</t>
  </si>
  <si>
    <t>g_k</t>
  </si>
  <si>
    <t>b_l</t>
  </si>
  <si>
    <t>b_k</t>
  </si>
  <si>
    <t>g</t>
  </si>
  <si>
    <t>b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</si>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</sst>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CE3C-C91D-414F-A7ED-AC1C12C64329}">
  <dimension ref="F5:AB59"/>
  <sheetViews>
    <sheetView tabSelected="1" topLeftCell="C47" zoomScaleNormal="110" workbookViewId="0">
      <selection activeCell="Y60" sqref="Y60"/>
    </sheetView>
  </sheetViews>
  <sheetFormatPr defaultRowHeight="14.5" x14ac:dyDescent="0.35"/>
  <cols>
    <col min="6" max="6" width="17.453125" customWidth="1"/>
    <col min="9" max="9" width="11.81640625" bestFit="1" customWidth="1"/>
    <col min="14" max="14" width="11.81640625" bestFit="1" customWidth="1"/>
    <col min="15" max="15" width="10.81640625" bestFit="1" customWidth="1"/>
    <col min="20" max="21" width="11.81640625" bestFit="1" customWidth="1"/>
  </cols>
  <sheetData>
    <row r="5" spans="6:21" ht="15" thickBot="1" x14ac:dyDescent="0.4"/>
    <row r="6" spans="6:21" ht="29" customHeight="1" thickBot="1" x14ac:dyDescent="0.4">
      <c r="F6" s="33" t="s">
        <v>0</v>
      </c>
      <c r="G6" s="36" t="s">
        <v>1</v>
      </c>
      <c r="H6" s="37"/>
      <c r="I6" s="37"/>
      <c r="J6" s="38"/>
      <c r="K6" s="36" t="s">
        <v>2</v>
      </c>
      <c r="L6" s="37"/>
      <c r="M6" s="38"/>
      <c r="N6" s="36" t="s">
        <v>3</v>
      </c>
      <c r="O6" s="38"/>
    </row>
    <row r="7" spans="6:21" x14ac:dyDescent="0.35">
      <c r="F7" s="34"/>
      <c r="G7" s="3" t="s">
        <v>4</v>
      </c>
      <c r="H7" s="1" t="s">
        <v>5</v>
      </c>
      <c r="I7" s="1" t="s">
        <v>6</v>
      </c>
      <c r="J7" s="2" t="s">
        <v>7</v>
      </c>
      <c r="K7" s="3" t="s">
        <v>8</v>
      </c>
      <c r="L7" s="1" t="s">
        <v>9</v>
      </c>
      <c r="M7" s="2" t="s">
        <v>10</v>
      </c>
      <c r="N7" s="3" t="s">
        <v>9</v>
      </c>
      <c r="O7" s="2" t="s">
        <v>10</v>
      </c>
    </row>
    <row r="8" spans="6:21" ht="15" thickBot="1" x14ac:dyDescent="0.4">
      <c r="F8" s="35"/>
      <c r="G8" s="39" t="s">
        <v>11</v>
      </c>
      <c r="H8" s="40"/>
      <c r="I8" s="14" t="s">
        <v>18</v>
      </c>
      <c r="J8" s="15" t="s">
        <v>12</v>
      </c>
      <c r="K8" s="8" t="s">
        <v>13</v>
      </c>
      <c r="L8" s="14" t="s">
        <v>17</v>
      </c>
      <c r="M8" s="15" t="s">
        <v>15</v>
      </c>
      <c r="N8" s="8" t="s">
        <v>17</v>
      </c>
      <c r="O8" s="15" t="s">
        <v>15</v>
      </c>
    </row>
    <row r="9" spans="6:21" x14ac:dyDescent="0.35">
      <c r="F9" s="3">
        <v>1</v>
      </c>
      <c r="G9" s="11">
        <v>1052</v>
      </c>
      <c r="H9" s="4" t="s">
        <v>16</v>
      </c>
      <c r="I9" s="4" t="s">
        <v>16</v>
      </c>
      <c r="J9" s="6" t="s">
        <v>16</v>
      </c>
      <c r="K9" s="13">
        <v>7.07</v>
      </c>
      <c r="L9" s="5">
        <v>6.7210000000000001</v>
      </c>
      <c r="M9" s="6">
        <v>0</v>
      </c>
      <c r="N9" s="11">
        <f>10/1052*0.707*1000</f>
        <v>6.7205323193916344</v>
      </c>
      <c r="O9" s="6">
        <v>0</v>
      </c>
    </row>
    <row r="10" spans="6:21" x14ac:dyDescent="0.35">
      <c r="F10" s="3">
        <v>2</v>
      </c>
      <c r="G10" s="11" t="s">
        <v>16</v>
      </c>
      <c r="H10" s="4" t="s">
        <v>16</v>
      </c>
      <c r="I10" s="4" t="s">
        <v>16</v>
      </c>
      <c r="J10" s="6">
        <v>57</v>
      </c>
      <c r="K10" s="11">
        <v>7.0709999999999997</v>
      </c>
      <c r="L10" s="4">
        <v>0.253</v>
      </c>
      <c r="M10" s="6">
        <f>-360*(2.472/10)</f>
        <v>-88.992000000000004</v>
      </c>
      <c r="N10" s="11">
        <f>K10/(10^9/(2*3.1416*100*J10))*1000</f>
        <v>0.25324249103999996</v>
      </c>
      <c r="O10" s="6">
        <v>-90</v>
      </c>
    </row>
    <row r="11" spans="6:21" x14ac:dyDescent="0.35">
      <c r="F11" s="3">
        <v>3</v>
      </c>
      <c r="G11" s="11" t="s">
        <v>16</v>
      </c>
      <c r="H11" s="4" t="s">
        <v>16</v>
      </c>
      <c r="I11" s="4">
        <v>129</v>
      </c>
      <c r="J11" s="6" t="s">
        <v>16</v>
      </c>
      <c r="K11" s="11">
        <v>7.0709999999999997</v>
      </c>
      <c r="L11" s="4">
        <v>87.24</v>
      </c>
      <c r="M11" s="6">
        <f>360*(2.497/10)</f>
        <v>89.891999999999996</v>
      </c>
      <c r="N11" s="11">
        <f>K11/(I11*10^-3*2*3.1416*100)*1000</f>
        <v>87.238912478310553</v>
      </c>
      <c r="O11" s="6">
        <v>90</v>
      </c>
    </row>
    <row r="12" spans="6:21" x14ac:dyDescent="0.35">
      <c r="F12" s="3">
        <v>4</v>
      </c>
      <c r="G12" s="11">
        <v>1052</v>
      </c>
      <c r="H12" s="4" t="s">
        <v>16</v>
      </c>
      <c r="I12" s="4" t="s">
        <v>16</v>
      </c>
      <c r="J12" s="6">
        <v>57</v>
      </c>
      <c r="K12" s="11">
        <v>7.0709999999999997</v>
      </c>
      <c r="L12" s="4">
        <v>0.25306600000000001</v>
      </c>
      <c r="M12" s="6">
        <f>360*(-2.447/10)</f>
        <v>-88.091999999999999</v>
      </c>
      <c r="N12" s="11">
        <f>K12/SQRT(G12^2+(1/(J12*(10^(-9))*2*3.1416*100))^2)*1000</f>
        <v>0.25306294018738745</v>
      </c>
      <c r="O12" s="7">
        <f>ATAN((-1/(2*3.1416*100*10^-9*J12))/G12)*180/3.1416</f>
        <v>-87.842106116805411</v>
      </c>
    </row>
    <row r="13" spans="6:21" x14ac:dyDescent="0.35">
      <c r="F13" s="3">
        <v>5</v>
      </c>
      <c r="G13" s="11">
        <v>1052</v>
      </c>
      <c r="H13" s="4" t="s">
        <v>16</v>
      </c>
      <c r="I13" s="4">
        <v>129</v>
      </c>
      <c r="J13" s="6" t="s">
        <v>16</v>
      </c>
      <c r="K13" s="11">
        <v>7.0709999999999997</v>
      </c>
      <c r="L13" s="4">
        <v>6.7009999999999996</v>
      </c>
      <c r="M13" s="6">
        <f>360*((122.1*10^(-3))/10)</f>
        <v>4.3956</v>
      </c>
      <c r="N13" s="11">
        <f>K13/(SQRT(G13^2 + (I13*10^-3*2*3.1416*100)^2))*1000</f>
        <v>6.7016211858808328</v>
      </c>
      <c r="O13" s="6">
        <f>ATAN((I13*10^(-3)*2*3.1416*100)/G13)*180/3.1416</f>
        <v>4.405744609193464</v>
      </c>
    </row>
    <row r="14" spans="6:21" x14ac:dyDescent="0.35">
      <c r="F14" s="3">
        <v>6</v>
      </c>
      <c r="G14" s="11">
        <v>1052</v>
      </c>
      <c r="H14" s="4" t="s">
        <v>16</v>
      </c>
      <c r="I14" s="4" t="s">
        <v>16</v>
      </c>
      <c r="J14" s="6">
        <v>57</v>
      </c>
      <c r="K14" s="11">
        <v>7.0709999999999997</v>
      </c>
      <c r="L14" s="4">
        <v>6.726</v>
      </c>
      <c r="M14" s="6">
        <f>360*(-73.26*10^-3/10)</f>
        <v>-2.6373600000000001</v>
      </c>
      <c r="N14" s="11">
        <f>K14*(SQRT((1/G14)^2+(2*3.1416*100*J14*10^-9)^2))*1000</f>
        <v>6.7262518534658602</v>
      </c>
      <c r="O14" s="6">
        <f>ATAN((-2*3.1416*100*57*10^-9)/(1/G14))*180/3.1416</f>
        <v>-2.1576834245370198</v>
      </c>
      <c r="Q14" t="s">
        <v>19</v>
      </c>
      <c r="R14" t="s">
        <v>20</v>
      </c>
      <c r="S14" t="s">
        <v>21</v>
      </c>
      <c r="T14" t="s">
        <v>22</v>
      </c>
      <c r="U14" t="s">
        <v>23</v>
      </c>
    </row>
    <row r="15" spans="6:21" ht="15" thickBot="1" x14ac:dyDescent="0.4">
      <c r="F15" s="8">
        <v>7</v>
      </c>
      <c r="G15" s="12">
        <v>1052</v>
      </c>
      <c r="H15" s="9">
        <v>1052</v>
      </c>
      <c r="I15" s="9">
        <v>129</v>
      </c>
      <c r="J15" s="10" t="s">
        <v>16</v>
      </c>
      <c r="K15" s="12">
        <v>7.0709999999999997</v>
      </c>
      <c r="L15" s="9">
        <v>13.411</v>
      </c>
      <c r="M15" s="10">
        <f>360*54.945*10^-3/10</f>
        <v>1.9780200000000001</v>
      </c>
      <c r="N15" s="12">
        <f>K15*(SQRT((1/G15+H15/(H15^2+(2*3.1416*100*I15*10^-3)^2))^2+((2*3.1416*100*I15*10^-3)/(H15^2+(2*3.1416*100*I15*10^-3)^2))^2))*1000</f>
        <v>13.413184252597338</v>
      </c>
      <c r="O15" s="10">
        <f>ATAN((U15)/(R15+S15))*180/3.1416</f>
        <v>2.1996111834452852</v>
      </c>
      <c r="Q15">
        <f>2*3.1416*100*I15*10^-3</f>
        <v>81.053280000000001</v>
      </c>
      <c r="R15">
        <f>1/H15</f>
        <v>9.5057034220532319E-4</v>
      </c>
      <c r="S15">
        <f>H15/(H15^2+Q15^2)</f>
        <v>9.44960850309854E-4</v>
      </c>
      <c r="T15">
        <v>0</v>
      </c>
      <c r="U15">
        <f>Q15/(H15^2+Q15^2)</f>
        <v>7.2806251320534866E-5</v>
      </c>
    </row>
    <row r="18" spans="6:16" ht="15" thickBot="1" x14ac:dyDescent="0.4"/>
    <row r="19" spans="6:16" ht="15" thickBot="1" x14ac:dyDescent="0.4">
      <c r="F19" s="28" t="s">
        <v>24</v>
      </c>
      <c r="G19" s="30" t="s">
        <v>25</v>
      </c>
      <c r="H19" s="31"/>
      <c r="I19" s="30" t="s">
        <v>26</v>
      </c>
      <c r="J19" s="32"/>
      <c r="L19" s="16" t="s">
        <v>8</v>
      </c>
      <c r="M19" s="25">
        <v>7.0709999999999997</v>
      </c>
      <c r="N19" s="22" t="s">
        <v>39</v>
      </c>
      <c r="P19">
        <v>74</v>
      </c>
    </row>
    <row r="20" spans="6:16" x14ac:dyDescent="0.35">
      <c r="F20" s="29"/>
      <c r="G20" s="19" t="s">
        <v>10</v>
      </c>
      <c r="H20" s="20" t="s">
        <v>9</v>
      </c>
      <c r="I20" s="19" t="s">
        <v>10</v>
      </c>
      <c r="J20" s="21" t="s">
        <v>9</v>
      </c>
      <c r="L20" s="17" t="s">
        <v>38</v>
      </c>
      <c r="M20" s="26">
        <v>50</v>
      </c>
      <c r="N20" s="23" t="s">
        <v>40</v>
      </c>
      <c r="P20">
        <v>186</v>
      </c>
    </row>
    <row r="21" spans="6:16" ht="15" thickBot="1" x14ac:dyDescent="0.4">
      <c r="F21" s="18" t="s">
        <v>27</v>
      </c>
      <c r="G21" s="8" t="s">
        <v>15</v>
      </c>
      <c r="H21" s="14" t="s">
        <v>14</v>
      </c>
      <c r="I21" s="8" t="s">
        <v>15</v>
      </c>
      <c r="J21" s="15" t="s">
        <v>14</v>
      </c>
      <c r="L21" s="17" t="s">
        <v>6</v>
      </c>
      <c r="M21" s="26">
        <v>68</v>
      </c>
      <c r="N21" s="23" t="s">
        <v>41</v>
      </c>
      <c r="P21">
        <v>371</v>
      </c>
    </row>
    <row r="22" spans="6:16" x14ac:dyDescent="0.35">
      <c r="F22" s="17" t="s">
        <v>29</v>
      </c>
      <c r="G22" s="4">
        <v>-89.093112963596354</v>
      </c>
      <c r="H22" s="4">
        <v>2.2378114257766697E-3</v>
      </c>
      <c r="I22" s="11">
        <f>-3.343*10^-3*74*360</f>
        <v>-89.057519999999997</v>
      </c>
      <c r="J22" s="6">
        <v>2.3800000000000002E-3</v>
      </c>
      <c r="L22" s="17" t="s">
        <v>7</v>
      </c>
      <c r="M22" s="26">
        <v>674</v>
      </c>
      <c r="N22" s="23" t="s">
        <v>42</v>
      </c>
      <c r="P22">
        <v>557</v>
      </c>
    </row>
    <row r="23" spans="6:16" ht="15" thickBot="1" x14ac:dyDescent="0.4">
      <c r="F23" s="17" t="s">
        <v>30</v>
      </c>
      <c r="G23" s="4">
        <v>-87.5939655073837</v>
      </c>
      <c r="H23" s="4">
        <v>5.9364313246231867E-3</v>
      </c>
      <c r="I23" s="11">
        <f>-1.329*10^-3*360*186</f>
        <v>-88.989840000000001</v>
      </c>
      <c r="J23" s="6">
        <v>5.9369999999999999E-2</v>
      </c>
      <c r="L23" s="18" t="s">
        <v>28</v>
      </c>
      <c r="M23" s="27">
        <v>743</v>
      </c>
      <c r="N23" s="24" t="s">
        <v>43</v>
      </c>
      <c r="P23">
        <v>743</v>
      </c>
    </row>
    <row r="24" spans="6:16" x14ac:dyDescent="0.35">
      <c r="F24" s="17" t="s">
        <v>31</v>
      </c>
      <c r="G24" s="4">
        <v>-84.027843606246208</v>
      </c>
      <c r="H24" s="4">
        <v>1.4713582820556358E-2</v>
      </c>
      <c r="I24" s="11">
        <f>-631.138*360*10^-6*371</f>
        <v>-84.294791280000013</v>
      </c>
      <c r="J24" s="6">
        <v>1.4715000000000001E-2</v>
      </c>
      <c r="P24">
        <v>929</v>
      </c>
    </row>
    <row r="25" spans="6:16" x14ac:dyDescent="0.35">
      <c r="F25" s="17" t="s">
        <v>32</v>
      </c>
      <c r="G25" s="4">
        <v>-74.950123391636652</v>
      </c>
      <c r="H25" s="4">
        <v>3.6720670592089201E-2</v>
      </c>
      <c r="I25" s="11">
        <f>-372.455*557*10^-6*360</f>
        <v>-74.684676600000003</v>
      </c>
      <c r="J25" s="6">
        <v>3.6733000000000002E-2</v>
      </c>
      <c r="L25" s="1" t="s">
        <v>44</v>
      </c>
      <c r="M25">
        <f>2*3.1416*P19*$M$21*10^-3 - 1/(2*3.1416*P19*$M$22*10^-9)</f>
        <v>-3159.3880486609673</v>
      </c>
      <c r="P25">
        <v>1114</v>
      </c>
    </row>
    <row r="26" spans="6:16" x14ac:dyDescent="0.35">
      <c r="F26" s="17" t="s">
        <v>33</v>
      </c>
      <c r="G26" s="4">
        <v>-0.41216279815798457</v>
      </c>
      <c r="H26" s="4">
        <v>0.14141634090815808</v>
      </c>
      <c r="I26" s="11">
        <v>0</v>
      </c>
      <c r="J26" s="6">
        <v>0.14141999999999999</v>
      </c>
      <c r="M26">
        <f t="shared" ref="M26:M33" si="0">2*3.1416*P20*$M$21*10^-3 - 1/(2*3.1416*P20*$M$22*10^-9)</f>
        <v>-1190.06975424146</v>
      </c>
      <c r="P26">
        <v>1300</v>
      </c>
    </row>
    <row r="27" spans="6:16" x14ac:dyDescent="0.35">
      <c r="F27" s="17" t="s">
        <v>34</v>
      </c>
      <c r="G27" s="4">
        <v>70.695261621896663</v>
      </c>
      <c r="H27" s="4">
        <v>4.6751998360783642E-2</v>
      </c>
      <c r="I27" s="11">
        <f>211.976*360*10^-6*929</f>
        <v>70.893253439999995</v>
      </c>
      <c r="J27" s="6">
        <v>4.6698999999999997E-2</v>
      </c>
      <c r="M27">
        <f t="shared" si="0"/>
        <v>-477.96823422348132</v>
      </c>
      <c r="P27">
        <v>1486</v>
      </c>
    </row>
    <row r="28" spans="6:16" x14ac:dyDescent="0.35">
      <c r="F28" s="17" t="s">
        <v>35</v>
      </c>
      <c r="G28" s="4">
        <v>79.275173529882849</v>
      </c>
      <c r="H28" s="4">
        <v>2.6316733062603129E-2</v>
      </c>
      <c r="I28" s="11">
        <f>198.802*10^-6*360*1114</f>
        <v>79.72755407999999</v>
      </c>
      <c r="J28" s="6">
        <v>2.6290000000000001E-2</v>
      </c>
      <c r="M28">
        <f t="shared" si="0"/>
        <v>-185.95715453520918</v>
      </c>
    </row>
    <row r="29" spans="6:16" x14ac:dyDescent="0.35">
      <c r="F29" s="17" t="s">
        <v>36</v>
      </c>
      <c r="G29" s="4">
        <v>82.380929061450018</v>
      </c>
      <c r="H29" s="4">
        <v>1.8749884624100606E-2</v>
      </c>
      <c r="I29" s="11">
        <f>360*176.048*10^-6/(1/1300)</f>
        <v>82.390463999999994</v>
      </c>
      <c r="J29" s="6">
        <v>1.873E-2</v>
      </c>
      <c r="M29">
        <f t="shared" si="0"/>
        <v>-0.35968693958494669</v>
      </c>
    </row>
    <row r="30" spans="6:16" ht="15" thickBot="1" x14ac:dyDescent="0.4">
      <c r="F30" s="18" t="s">
        <v>37</v>
      </c>
      <c r="G30" s="9">
        <v>84.003313880590269</v>
      </c>
      <c r="H30" s="9">
        <v>1.4773798390848681E-2</v>
      </c>
      <c r="I30" s="12">
        <f>360*158.09*10^-6/(1/1486)</f>
        <v>84.571826400000006</v>
      </c>
      <c r="J30" s="10">
        <v>1.4756E-2</v>
      </c>
      <c r="M30">
        <f t="shared" si="0"/>
        <v>142.7410636631738</v>
      </c>
    </row>
    <row r="31" spans="6:16" x14ac:dyDescent="0.35">
      <c r="M31">
        <f t="shared" si="0"/>
        <v>263.99514753239544</v>
      </c>
    </row>
    <row r="32" spans="6:16" x14ac:dyDescent="0.35">
      <c r="M32">
        <f t="shared" si="0"/>
        <v>373.79305060114496</v>
      </c>
    </row>
    <row r="33" spans="6:28" x14ac:dyDescent="0.35">
      <c r="M33">
        <f t="shared" si="0"/>
        <v>475.99875173020746</v>
      </c>
    </row>
    <row r="35" spans="6:28" x14ac:dyDescent="0.35">
      <c r="L35" t="s">
        <v>45</v>
      </c>
      <c r="M35">
        <f>SQRT($M$20^2 + M25^2)</f>
        <v>3159.783670130244</v>
      </c>
      <c r="O35" t="s">
        <v>10</v>
      </c>
      <c r="P35">
        <f>ATAN(M25/$M$20)*180/3.1416</f>
        <v>-89.093112963596354</v>
      </c>
      <c r="R35" t="s">
        <v>9</v>
      </c>
      <c r="S35">
        <f>$M$19/M35</f>
        <v>2.2378114257766697E-3</v>
      </c>
    </row>
    <row r="36" spans="6:28" x14ac:dyDescent="0.35">
      <c r="M36">
        <f t="shared" ref="M36:M43" si="1">SQRT($M$20^2 + M26^2)</f>
        <v>1191.1196497247156</v>
      </c>
      <c r="P36">
        <f t="shared" ref="P36:P42" si="2">ATAN(M26/$M$20)*180/3.1416</f>
        <v>-87.5939655073837</v>
      </c>
      <c r="S36">
        <f t="shared" ref="S36:S43" si="3">$M$19/M36</f>
        <v>5.9364313246231867E-3</v>
      </c>
    </row>
    <row r="37" spans="6:28" x14ac:dyDescent="0.35">
      <c r="M37">
        <f t="shared" si="1"/>
        <v>480.57635493926739</v>
      </c>
      <c r="P37">
        <f t="shared" si="2"/>
        <v>-84.027843606246208</v>
      </c>
      <c r="S37">
        <f t="shared" si="3"/>
        <v>1.4713582820556358E-2</v>
      </c>
    </row>
    <row r="38" spans="6:28" x14ac:dyDescent="0.35">
      <c r="M38">
        <f t="shared" si="1"/>
        <v>192.56184285270973</v>
      </c>
      <c r="P38">
        <f t="shared" si="2"/>
        <v>-74.950123391636652</v>
      </c>
      <c r="S38">
        <f t="shared" si="3"/>
        <v>3.6720670592089201E-2</v>
      </c>
    </row>
    <row r="39" spans="6:28" x14ac:dyDescent="0.35">
      <c r="M39">
        <f t="shared" si="1"/>
        <v>50.001293730207699</v>
      </c>
      <c r="P39">
        <f t="shared" si="2"/>
        <v>-0.41216279815798457</v>
      </c>
      <c r="S39">
        <f t="shared" si="3"/>
        <v>0.14141634090815808</v>
      </c>
    </row>
    <row r="40" spans="6:28" x14ac:dyDescent="0.35">
      <c r="M40">
        <f t="shared" si="1"/>
        <v>151.24487183271449</v>
      </c>
      <c r="P40">
        <f t="shared" si="2"/>
        <v>70.695261621896663</v>
      </c>
      <c r="S40">
        <f t="shared" si="3"/>
        <v>4.6751998360783642E-2</v>
      </c>
    </row>
    <row r="41" spans="6:28" x14ac:dyDescent="0.35">
      <c r="M41">
        <f t="shared" si="1"/>
        <v>268.68836580814445</v>
      </c>
      <c r="P41">
        <f t="shared" si="2"/>
        <v>79.275173529882849</v>
      </c>
      <c r="S41">
        <f t="shared" si="3"/>
        <v>2.6316733062603129E-2</v>
      </c>
    </row>
    <row r="42" spans="6:28" x14ac:dyDescent="0.35">
      <c r="M42">
        <f t="shared" si="1"/>
        <v>377.12232057743563</v>
      </c>
      <c r="P42">
        <f t="shared" si="2"/>
        <v>82.380929061450018</v>
      </c>
      <c r="S42">
        <f t="shared" si="3"/>
        <v>1.8749884624100606E-2</v>
      </c>
    </row>
    <row r="43" spans="6:28" x14ac:dyDescent="0.35">
      <c r="M43">
        <f t="shared" si="1"/>
        <v>478.617604825309</v>
      </c>
      <c r="P43">
        <f>ATAN(M33/$M$20)*180/3.1416</f>
        <v>84.003313880590269</v>
      </c>
      <c r="S43">
        <f t="shared" si="3"/>
        <v>1.4773798390848681E-2</v>
      </c>
    </row>
    <row r="47" spans="6:28" ht="15" thickBot="1" x14ac:dyDescent="0.4">
      <c r="Q47" t="s">
        <v>24</v>
      </c>
      <c r="R47" t="s">
        <v>46</v>
      </c>
      <c r="S47" t="s">
        <v>47</v>
      </c>
      <c r="T47" t="s">
        <v>48</v>
      </c>
      <c r="U47" t="s">
        <v>49</v>
      </c>
      <c r="V47" t="s">
        <v>50</v>
      </c>
      <c r="W47" t="s">
        <v>51</v>
      </c>
      <c r="X47" t="s">
        <v>52</v>
      </c>
      <c r="Y47" t="s">
        <v>53</v>
      </c>
      <c r="Z47" t="s">
        <v>54</v>
      </c>
      <c r="AA47" t="s">
        <v>9</v>
      </c>
      <c r="AB47" t="s">
        <v>10</v>
      </c>
    </row>
    <row r="48" spans="6:28" ht="15" thickBot="1" x14ac:dyDescent="0.4">
      <c r="F48" s="28" t="s">
        <v>24</v>
      </c>
      <c r="G48" s="30" t="s">
        <v>25</v>
      </c>
      <c r="H48" s="31"/>
      <c r="I48" s="30" t="s">
        <v>26</v>
      </c>
      <c r="J48" s="32"/>
      <c r="L48" s="16" t="s">
        <v>8</v>
      </c>
      <c r="M48" s="25">
        <v>7.0709999999999997</v>
      </c>
      <c r="N48" s="22" t="s">
        <v>39</v>
      </c>
      <c r="Q48">
        <v>74</v>
      </c>
      <c r="R48">
        <f>1/(2*3.1416*Q48*$M$51*10^-9)</f>
        <v>6127.4571078492645</v>
      </c>
      <c r="S48">
        <f>2*3.1416*Q48*$M$50*10^-3</f>
        <v>51.145248000000002</v>
      </c>
      <c r="T48">
        <f>$M$49/($M$49^2+R48^2)</f>
        <v>2.6634186022166752E-8</v>
      </c>
      <c r="U48">
        <f>$M$49/($M$49^2+S48^2)</f>
        <v>3.8214081808173175E-4</v>
      </c>
      <c r="V48">
        <f>R48/(R48^2+$M$49^2)</f>
        <v>1.631998324533052E-4</v>
      </c>
      <c r="W48">
        <f>S48/(S48^2+$M$49^2)</f>
        <v>1.9544686911713054E-2</v>
      </c>
      <c r="X48">
        <f>T48+U48</f>
        <v>3.8216745226775389E-4</v>
      </c>
      <c r="Y48">
        <f>W48-V48</f>
        <v>1.9381487079259751E-2</v>
      </c>
      <c r="Z48">
        <f>SQRT(X48^2+Y48^2)</f>
        <v>1.938525453444152E-2</v>
      </c>
      <c r="AA48">
        <f>$M$48*Z48</f>
        <v>0.13707313481303599</v>
      </c>
      <c r="AB48">
        <f>ATAN(Y48/X48)*180/3.1416</f>
        <v>88.870170662506638</v>
      </c>
    </row>
    <row r="49" spans="6:28" x14ac:dyDescent="0.35">
      <c r="F49" s="29"/>
      <c r="G49" s="19" t="s">
        <v>10</v>
      </c>
      <c r="H49" s="20" t="s">
        <v>9</v>
      </c>
      <c r="I49" s="19" t="s">
        <v>10</v>
      </c>
      <c r="J49" s="21" t="s">
        <v>9</v>
      </c>
      <c r="L49" s="17" t="s">
        <v>38</v>
      </c>
      <c r="M49" s="26">
        <v>1</v>
      </c>
      <c r="N49" s="23" t="s">
        <v>40</v>
      </c>
      <c r="Q49">
        <v>186</v>
      </c>
      <c r="R49">
        <f t="shared" ref="R49:R56" si="4">1/(2*3.1416*Q49*$M$51*10^-9)</f>
        <v>2437.8055160260515</v>
      </c>
      <c r="S49">
        <f t="shared" ref="S49:S56" si="5">2*3.1416*Q49*$M$50*10^-3</f>
        <v>128.554272</v>
      </c>
      <c r="T49">
        <f t="shared" ref="T49:T56" si="6">$M$49/($M$49^2+R49^2)</f>
        <v>1.6826810977287048E-7</v>
      </c>
      <c r="U49">
        <f t="shared" ref="U49:U56" si="7">$M$49/($M$49^2+S49^2)</f>
        <v>6.0506313749631689E-5</v>
      </c>
      <c r="V49">
        <f t="shared" ref="V49:V56" si="8">R49/(R49^2+$M$49^2)</f>
        <v>4.1020492617558084E-4</v>
      </c>
      <c r="W49">
        <f t="shared" ref="W49:W56" si="9">S49/(S49^2+$M$49^2)</f>
        <v>7.7783451154874918E-3</v>
      </c>
      <c r="X49">
        <f t="shared" ref="X49:X56" si="10">T49+U49</f>
        <v>6.067458185940456E-5</v>
      </c>
      <c r="Y49">
        <f t="shared" ref="Y49:Y56" si="11">W49-V49</f>
        <v>7.3681401893119112E-3</v>
      </c>
      <c r="Z49">
        <f t="shared" ref="Z49:Z56" si="12">SQRT(X49^2+Y49^2)</f>
        <v>7.368390004216469E-3</v>
      </c>
      <c r="AA49">
        <f t="shared" ref="AA49:AA56" si="13">$M$48*Z49</f>
        <v>5.2101885719814653E-2</v>
      </c>
      <c r="AB49">
        <f t="shared" ref="AB49:AB56" si="14">ATAN(Y49/X49)*180/3.1416</f>
        <v>89.527986525912695</v>
      </c>
    </row>
    <row r="50" spans="6:28" ht="15" thickBot="1" x14ac:dyDescent="0.4">
      <c r="F50" s="18" t="s">
        <v>27</v>
      </c>
      <c r="G50" s="8" t="s">
        <v>15</v>
      </c>
      <c r="H50" s="14" t="s">
        <v>14</v>
      </c>
      <c r="I50" s="8" t="s">
        <v>15</v>
      </c>
      <c r="J50" s="15" t="s">
        <v>14</v>
      </c>
      <c r="L50" s="17" t="s">
        <v>6</v>
      </c>
      <c r="M50" s="26">
        <v>110</v>
      </c>
      <c r="N50" s="23" t="s">
        <v>41</v>
      </c>
      <c r="Q50">
        <v>371</v>
      </c>
      <c r="R50">
        <f t="shared" si="4"/>
        <v>1222.1882101909584</v>
      </c>
      <c r="S50">
        <f t="shared" si="5"/>
        <v>256.41739200000001</v>
      </c>
      <c r="T50">
        <f t="shared" si="6"/>
        <v>6.6945829834040923E-7</v>
      </c>
      <c r="U50">
        <f t="shared" si="7"/>
        <v>1.5208922168408908E-5</v>
      </c>
      <c r="V50">
        <f t="shared" si="8"/>
        <v>8.1820403944614937E-4</v>
      </c>
      <c r="W50">
        <f t="shared" si="9"/>
        <v>3.8998321575543968E-3</v>
      </c>
      <c r="X50">
        <f t="shared" si="10"/>
        <v>1.5878380466749319E-5</v>
      </c>
      <c r="Y50">
        <f t="shared" si="11"/>
        <v>3.0816281181082475E-3</v>
      </c>
      <c r="Z50">
        <f t="shared" si="12"/>
        <v>3.0816690252656316E-3</v>
      </c>
      <c r="AA50">
        <f t="shared" si="13"/>
        <v>2.1790481677653281E-2</v>
      </c>
      <c r="AB50">
        <f t="shared" si="14"/>
        <v>89.704570918936469</v>
      </c>
    </row>
    <row r="51" spans="6:28" x14ac:dyDescent="0.35">
      <c r="F51" s="17" t="s">
        <v>29</v>
      </c>
      <c r="G51" s="4">
        <v>88.870170662506638</v>
      </c>
      <c r="H51" s="4">
        <v>0.13707313481303599</v>
      </c>
      <c r="I51" s="11">
        <f>3.323*10^-3*74*360</f>
        <v>88.524720000000002</v>
      </c>
      <c r="J51" s="6">
        <v>0.13527800000000001</v>
      </c>
      <c r="L51" s="17" t="s">
        <v>7</v>
      </c>
      <c r="M51" s="26">
        <v>351</v>
      </c>
      <c r="N51" s="23" t="s">
        <v>42</v>
      </c>
      <c r="Q51">
        <v>557</v>
      </c>
      <c r="R51">
        <f t="shared" si="4"/>
        <v>814.06072887045889</v>
      </c>
      <c r="S51">
        <f t="shared" si="5"/>
        <v>384.97166399999998</v>
      </c>
      <c r="T51">
        <f t="shared" si="6"/>
        <v>1.5089878250844501E-6</v>
      </c>
      <c r="U51">
        <f t="shared" si="7"/>
        <v>6.7474479191177052E-6</v>
      </c>
      <c r="V51">
        <f t="shared" si="8"/>
        <v>1.228407728744896E-3</v>
      </c>
      <c r="W51">
        <f t="shared" si="9"/>
        <v>2.5975762531760802E-3</v>
      </c>
      <c r="X51">
        <f t="shared" si="10"/>
        <v>8.2564357442021549E-6</v>
      </c>
      <c r="Y51">
        <f t="shared" si="11"/>
        <v>1.3691685244311843E-3</v>
      </c>
      <c r="Z51">
        <f t="shared" si="12"/>
        <v>1.3691934184125575E-3</v>
      </c>
      <c r="AA51">
        <f t="shared" si="13"/>
        <v>9.6815666615951944E-3</v>
      </c>
      <c r="AB51">
        <f t="shared" si="14"/>
        <v>89.654286359415082</v>
      </c>
    </row>
    <row r="52" spans="6:28" ht="15" thickBot="1" x14ac:dyDescent="0.4">
      <c r="F52" s="17" t="s">
        <v>30</v>
      </c>
      <c r="G52" s="4">
        <v>89.527986525912695</v>
      </c>
      <c r="H52" s="4">
        <v>5.2101885719814653E-2</v>
      </c>
      <c r="I52" s="11">
        <f>1.341*10^-3*360*186</f>
        <v>89.793359999999993</v>
      </c>
      <c r="J52" s="6">
        <v>5.2095000000000002E-2</v>
      </c>
      <c r="L52" s="18" t="s">
        <v>28</v>
      </c>
      <c r="M52" s="27">
        <v>743</v>
      </c>
      <c r="N52" s="24" t="s">
        <v>43</v>
      </c>
      <c r="Q52">
        <v>743</v>
      </c>
      <c r="R52">
        <f t="shared" si="4"/>
        <v>610.27163658256472</v>
      </c>
      <c r="S52">
        <f t="shared" si="5"/>
        <v>513.525936</v>
      </c>
      <c r="T52">
        <f t="shared" si="6"/>
        <v>2.6850505244075499E-6</v>
      </c>
      <c r="U52">
        <f t="shared" si="7"/>
        <v>3.7920459167683414E-6</v>
      </c>
      <c r="V52">
        <f t="shared" si="8"/>
        <v>1.6386101778370693E-3</v>
      </c>
      <c r="W52">
        <f t="shared" si="9"/>
        <v>1.9473139287634407E-3</v>
      </c>
      <c r="X52">
        <f t="shared" si="10"/>
        <v>6.4770964411758909E-6</v>
      </c>
      <c r="Y52">
        <f t="shared" si="11"/>
        <v>3.0870375092637145E-4</v>
      </c>
      <c r="Z52">
        <f t="shared" si="12"/>
        <v>3.0877169335015068E-4</v>
      </c>
      <c r="AA52">
        <f t="shared" si="13"/>
        <v>2.1833246436789152E-3</v>
      </c>
      <c r="AB52">
        <f>ATAN(Y52/X52)*180/3.1416</f>
        <v>88.797811989929215</v>
      </c>
    </row>
    <row r="53" spans="6:28" x14ac:dyDescent="0.35">
      <c r="F53" s="17" t="s">
        <v>31</v>
      </c>
      <c r="G53" s="4">
        <v>89.704570918936469</v>
      </c>
      <c r="H53" s="4">
        <v>2.1790481677653281E-2</v>
      </c>
      <c r="I53" s="11">
        <f>672.635*360*10^-6*371</f>
        <v>89.837130599999995</v>
      </c>
      <c r="J53" s="6">
        <v>2.2284999999999999E-2</v>
      </c>
      <c r="Q53">
        <v>929</v>
      </c>
      <c r="R53">
        <f t="shared" si="4"/>
        <v>488.08592678239557</v>
      </c>
      <c r="S53">
        <f t="shared" si="5"/>
        <v>642.08020799999997</v>
      </c>
      <c r="T53">
        <f t="shared" si="6"/>
        <v>4.1976440215990807E-6</v>
      </c>
      <c r="U53">
        <f t="shared" si="7"/>
        <v>2.4256066824335902E-6</v>
      </c>
      <c r="V53">
        <f t="shared" si="8"/>
        <v>2.0488109725847695E-3</v>
      </c>
      <c r="W53">
        <f t="shared" si="9"/>
        <v>1.5574340431831494E-3</v>
      </c>
      <c r="X53">
        <f t="shared" si="10"/>
        <v>6.6232507040326706E-6</v>
      </c>
      <c r="Y53">
        <f t="shared" si="11"/>
        <v>-4.9137692940162008E-4</v>
      </c>
      <c r="Z53">
        <f t="shared" si="12"/>
        <v>4.914215646449118E-4</v>
      </c>
      <c r="AA53">
        <f t="shared" si="13"/>
        <v>3.4748418836041714E-3</v>
      </c>
      <c r="AB53">
        <f t="shared" si="14"/>
        <v>-89.227550507353413</v>
      </c>
    </row>
    <row r="54" spans="6:28" x14ac:dyDescent="0.35">
      <c r="F54" s="17" t="s">
        <v>32</v>
      </c>
      <c r="G54" s="4">
        <v>89.654286359415082</v>
      </c>
      <c r="H54" s="4">
        <v>9.6815666615951944E-3</v>
      </c>
      <c r="I54" s="11">
        <f>448.114*557*10^-6*360</f>
        <v>89.855819279999992</v>
      </c>
      <c r="J54" s="6">
        <v>9.4299999999999991E-3</v>
      </c>
      <c r="Q54">
        <v>1114</v>
      </c>
      <c r="R54">
        <f t="shared" si="4"/>
        <v>407.03036443522944</v>
      </c>
      <c r="S54">
        <f t="shared" si="5"/>
        <v>769.94332799999995</v>
      </c>
      <c r="T54">
        <f t="shared" si="6"/>
        <v>6.035923975930422E-6</v>
      </c>
      <c r="U54">
        <f t="shared" si="7"/>
        <v>1.6868705163326426E-6</v>
      </c>
      <c r="V54">
        <f t="shared" si="8"/>
        <v>2.4568043356262984E-3</v>
      </c>
      <c r="W54">
        <f t="shared" si="9"/>
        <v>1.2987946992502333E-3</v>
      </c>
      <c r="X54">
        <f t="shared" si="10"/>
        <v>7.7227944922630638E-6</v>
      </c>
      <c r="Y54">
        <f t="shared" si="11"/>
        <v>-1.1580096363760651E-3</v>
      </c>
      <c r="Z54">
        <f t="shared" si="12"/>
        <v>1.1580353878420972E-3</v>
      </c>
      <c r="AA54">
        <f t="shared" si="13"/>
        <v>8.1884682274314686E-3</v>
      </c>
      <c r="AB54">
        <f t="shared" si="14"/>
        <v>-89.617689149360331</v>
      </c>
    </row>
    <row r="55" spans="6:28" x14ac:dyDescent="0.35">
      <c r="F55" s="17" t="s">
        <v>33</v>
      </c>
      <c r="G55" s="4">
        <v>88.797811989929215</v>
      </c>
      <c r="H55" s="4">
        <v>2.1833246436789152E-3</v>
      </c>
      <c r="I55" s="11">
        <f>330.922*10^-6*360*743</f>
        <v>88.515016560000007</v>
      </c>
      <c r="J55" s="6">
        <v>1.8550000000000001E-3</v>
      </c>
      <c r="Q55">
        <v>1300</v>
      </c>
      <c r="R55">
        <f t="shared" si="4"/>
        <v>348.79371229295811</v>
      </c>
      <c r="S55">
        <f t="shared" si="5"/>
        <v>898.49760000000003</v>
      </c>
      <c r="T55">
        <f t="shared" si="6"/>
        <v>8.2197599690143907E-6</v>
      </c>
      <c r="U55">
        <f t="shared" si="7"/>
        <v>1.2386985215925353E-6</v>
      </c>
      <c r="V55">
        <f t="shared" si="8"/>
        <v>2.8670005937495796E-3</v>
      </c>
      <c r="W55">
        <f t="shared" si="9"/>
        <v>1.1129676487744412E-3</v>
      </c>
      <c r="X55">
        <f t="shared" si="10"/>
        <v>9.4584584906069255E-6</v>
      </c>
      <c r="Y55">
        <f t="shared" si="11"/>
        <v>-1.7540329449751385E-3</v>
      </c>
      <c r="Z55">
        <f t="shared" si="12"/>
        <v>1.7540584467158372E-3</v>
      </c>
      <c r="AA55">
        <f t="shared" si="13"/>
        <v>1.2402947276727685E-2</v>
      </c>
      <c r="AB55">
        <f t="shared" si="14"/>
        <v>-89.690831129899593</v>
      </c>
    </row>
    <row r="56" spans="6:28" x14ac:dyDescent="0.35">
      <c r="F56" s="17" t="s">
        <v>34</v>
      </c>
      <c r="G56" s="4">
        <v>-89.227550507353413</v>
      </c>
      <c r="H56" s="4">
        <v>3.4748418836041714E-3</v>
      </c>
      <c r="I56" s="11">
        <f>268.441*360*10^-6*929</f>
        <v>89.777408039999997</v>
      </c>
      <c r="J56" s="6">
        <v>3.496E-3</v>
      </c>
      <c r="Q56">
        <v>1486</v>
      </c>
      <c r="R56">
        <f t="shared" si="4"/>
        <v>305.13581829128236</v>
      </c>
      <c r="S56">
        <f t="shared" si="5"/>
        <v>1027.051872</v>
      </c>
      <c r="T56">
        <f t="shared" si="6"/>
        <v>1.0740115584371254E-5</v>
      </c>
      <c r="U56">
        <f t="shared" si="7"/>
        <v>9.4801417537704743E-7</v>
      </c>
      <c r="V56">
        <f t="shared" si="8"/>
        <v>3.277193957380077E-3</v>
      </c>
      <c r="W56">
        <f t="shared" si="9"/>
        <v>9.7365973350353285E-4</v>
      </c>
      <c r="X56">
        <f t="shared" si="10"/>
        <v>1.1688129759748301E-5</v>
      </c>
      <c r="Y56">
        <f t="shared" si="11"/>
        <v>-2.3035342238765443E-3</v>
      </c>
      <c r="Z56">
        <f t="shared" si="12"/>
        <v>2.3035638764635539E-3</v>
      </c>
      <c r="AA56">
        <f t="shared" si="13"/>
        <v>1.6288500170473789E-2</v>
      </c>
      <c r="AB56">
        <f t="shared" si="14"/>
        <v>-89.709074002707581</v>
      </c>
    </row>
    <row r="57" spans="6:28" x14ac:dyDescent="0.35">
      <c r="F57" s="17" t="s">
        <v>35</v>
      </c>
      <c r="G57" s="4">
        <v>-89.617689149360331</v>
      </c>
      <c r="H57" s="4">
        <v>8.1884682274314686E-3</v>
      </c>
      <c r="I57" s="11">
        <f>223.557*10^-6*360*1114</f>
        <v>89.655299279999994</v>
      </c>
      <c r="J57" s="6">
        <v>8.5330000000000007E-3</v>
      </c>
    </row>
    <row r="58" spans="6:28" x14ac:dyDescent="0.35">
      <c r="F58" s="17" t="s">
        <v>36</v>
      </c>
      <c r="G58" s="4">
        <v>-89.690831129899593</v>
      </c>
      <c r="H58" s="4">
        <v>1.2402947276727685E-2</v>
      </c>
      <c r="I58" s="11">
        <f>360*190.722*10^-6/(1/1300)</f>
        <v>89.257896000000002</v>
      </c>
      <c r="J58" s="6">
        <v>1.2769000000000001E-2</v>
      </c>
    </row>
    <row r="59" spans="6:28" ht="15" thickBot="1" x14ac:dyDescent="0.4">
      <c r="F59" s="18" t="s">
        <v>37</v>
      </c>
      <c r="G59" s="9">
        <v>-89.709074002707581</v>
      </c>
      <c r="H59" s="9">
        <v>1.6288500170473789E-2</v>
      </c>
      <c r="I59" s="12">
        <f>360*167.665*10^-6/(1/1486)</f>
        <v>89.694068399999992</v>
      </c>
      <c r="J59" s="10">
        <v>1.6768999999999999E-2</v>
      </c>
    </row>
  </sheetData>
  <mergeCells count="11">
    <mergeCell ref="F6:F8"/>
    <mergeCell ref="G6:J6"/>
    <mergeCell ref="K6:M6"/>
    <mergeCell ref="N6:O6"/>
    <mergeCell ref="G8:H8"/>
    <mergeCell ref="F19:F20"/>
    <mergeCell ref="G19:H19"/>
    <mergeCell ref="I19:J19"/>
    <mergeCell ref="F48:F49"/>
    <mergeCell ref="G48:H48"/>
    <mergeCell ref="I48:J48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Kirbaba</dc:creator>
  <cp:lastModifiedBy>Denis Kirbaba</cp:lastModifiedBy>
  <dcterms:created xsi:type="dcterms:W3CDTF">2023-05-08T19:42:50Z</dcterms:created>
  <dcterms:modified xsi:type="dcterms:W3CDTF">2023-05-09T15:59:26Z</dcterms:modified>
</cp:coreProperties>
</file>