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kirba\Desktop\Math_Statistics\4lab\"/>
    </mc:Choice>
  </mc:AlternateContent>
  <xr:revisionPtr revIDLastSave="0" documentId="13_ncr:1_{D5B1E79A-1E5B-4918-AEA5-56FF48FDDA86}" xr6:coauthVersionLast="47" xr6:coauthVersionMax="47" xr10:uidLastSave="{00000000-0000-0000-0000-000000000000}"/>
  <bookViews>
    <workbookView xWindow="-110" yWindow="-110" windowWidth="19420" windowHeight="105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8" i="1" l="1"/>
  <c r="O137" i="1"/>
  <c r="O136" i="1"/>
  <c r="O130" i="1"/>
  <c r="Q127" i="1"/>
  <c r="Q126" i="1"/>
  <c r="L124" i="1" a="1"/>
  <c r="L124" i="1" s="1"/>
  <c r="R116" i="1"/>
  <c r="O112" i="1"/>
  <c r="O110" i="1"/>
  <c r="O111" i="1"/>
  <c r="O102" i="1"/>
  <c r="O99" i="1"/>
  <c r="R105" i="1" l="1"/>
  <c r="R100" i="1"/>
  <c r="R95" i="1"/>
  <c r="S61" i="1"/>
  <c r="S60" i="1"/>
  <c r="S56" i="1"/>
  <c r="S5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 i="1"/>
  <c r="L55" i="1"/>
  <c r="K55" i="1"/>
  <c r="O49" i="1"/>
  <c r="P49" i="1"/>
  <c r="Q49" i="1"/>
  <c r="R49" i="1"/>
  <c r="S49" i="1"/>
  <c r="T49" i="1"/>
  <c r="U49" i="1"/>
  <c r="V49" i="1"/>
  <c r="W49" i="1"/>
  <c r="N49" i="1"/>
  <c r="X48" i="1"/>
  <c r="X40" i="1"/>
  <c r="X41" i="1"/>
  <c r="X42" i="1"/>
  <c r="X43" i="1"/>
  <c r="X44" i="1"/>
  <c r="X45" i="1"/>
  <c r="X46" i="1"/>
  <c r="X47" i="1"/>
  <c r="X39" i="1"/>
  <c r="L47" i="1"/>
  <c r="V37" i="1"/>
  <c r="N36" i="1"/>
  <c r="K39" i="1"/>
  <c r="N37" i="1"/>
  <c r="L5" i="1"/>
  <c r="K5" i="1"/>
  <c r="L39" i="1" l="1"/>
  <c r="K40" i="1" s="1"/>
  <c r="O36" i="1"/>
  <c r="N38" i="1"/>
  <c r="N39" i="1"/>
  <c r="L40" i="1" l="1"/>
  <c r="M39" i="1"/>
  <c r="O37" i="1"/>
  <c r="P36" i="1" s="1"/>
  <c r="O38" i="1"/>
  <c r="K41" i="1" l="1"/>
  <c r="N40" i="1"/>
  <c r="M40" i="1"/>
  <c r="O39" i="1"/>
  <c r="O40" i="1"/>
  <c r="P37" i="1"/>
  <c r="Q36" i="1" s="1"/>
  <c r="L41" i="1" l="1"/>
  <c r="M41" i="1"/>
  <c r="N41" i="1"/>
  <c r="Q37" i="1"/>
  <c r="R36" i="1" s="1"/>
  <c r="Q38" i="1"/>
  <c r="P41" i="1"/>
  <c r="P40" i="1"/>
  <c r="P39" i="1"/>
  <c r="P38" i="1"/>
  <c r="Q41" i="1" l="1"/>
  <c r="Q39" i="1"/>
  <c r="Q40" i="1"/>
  <c r="K42" i="1"/>
  <c r="O41" i="1"/>
  <c r="R37" i="1"/>
  <c r="S36" i="1" s="1"/>
  <c r="R38" i="1"/>
  <c r="L42" i="1" l="1"/>
  <c r="K43" i="1" s="1"/>
  <c r="N42" i="1"/>
  <c r="O42" i="1"/>
  <c r="Q42" i="1"/>
  <c r="P42" i="1"/>
  <c r="R42" i="1"/>
  <c r="R39" i="1"/>
  <c r="S37" i="1"/>
  <c r="T36" i="1" s="1"/>
  <c r="S41" i="1"/>
  <c r="R41" i="1"/>
  <c r="R40" i="1"/>
  <c r="S39" i="1" l="1"/>
  <c r="S38" i="1"/>
  <c r="S42" i="1"/>
  <c r="S40" i="1"/>
  <c r="M42" i="1"/>
  <c r="L43" i="1"/>
  <c r="M43" i="1"/>
  <c r="N43" i="1"/>
  <c r="O43" i="1"/>
  <c r="Q43" i="1"/>
  <c r="P43" i="1"/>
  <c r="T37" i="1"/>
  <c r="U36" i="1" s="1"/>
  <c r="T39" i="1"/>
  <c r="T43" i="1" l="1"/>
  <c r="T38" i="1"/>
  <c r="T41" i="1"/>
  <c r="T42" i="1"/>
  <c r="T40" i="1"/>
  <c r="K44" i="1"/>
  <c r="R43" i="1"/>
  <c r="S43" i="1"/>
  <c r="U37" i="1"/>
  <c r="V36" i="1" s="1"/>
  <c r="U42" i="1"/>
  <c r="U41" i="1"/>
  <c r="U38" i="1"/>
  <c r="U43" i="1"/>
  <c r="U39" i="1" l="1"/>
  <c r="U40" i="1"/>
  <c r="L44" i="1"/>
  <c r="M44" i="1"/>
  <c r="P44" i="1"/>
  <c r="Q44" i="1"/>
  <c r="T44" i="1"/>
  <c r="V40" i="1"/>
  <c r="W40" i="1" s="1"/>
  <c r="V42" i="1"/>
  <c r="W42" i="1" s="1"/>
  <c r="V38" i="1"/>
  <c r="V39" i="1"/>
  <c r="V41" i="1"/>
  <c r="W41" i="1" s="1"/>
  <c r="V43" i="1"/>
  <c r="W43" i="1" s="1"/>
  <c r="K45" i="1" l="1"/>
  <c r="U44" i="1"/>
  <c r="V44" i="1"/>
  <c r="R44" i="1"/>
  <c r="O44" i="1"/>
  <c r="S44" i="1"/>
  <c r="N44" i="1"/>
  <c r="W39" i="1"/>
  <c r="L45" i="1" l="1"/>
  <c r="K46" i="1" s="1"/>
  <c r="M45" i="1"/>
  <c r="N45" i="1"/>
  <c r="O45" i="1"/>
  <c r="Q45" i="1"/>
  <c r="P45" i="1"/>
  <c r="S45" i="1"/>
  <c r="R45" i="1"/>
  <c r="T45" i="1"/>
  <c r="U45" i="1"/>
  <c r="V45" i="1"/>
  <c r="W44" i="1"/>
  <c r="W45" i="1" l="1"/>
  <c r="L46" i="1"/>
  <c r="K47" i="1" s="1"/>
  <c r="P46" i="1"/>
  <c r="T46" i="1"/>
  <c r="S46" i="1" l="1"/>
  <c r="O46" i="1"/>
  <c r="M47" i="1"/>
  <c r="N47" i="1"/>
  <c r="O47" i="1"/>
  <c r="Q47" i="1"/>
  <c r="P47" i="1"/>
  <c r="P48" i="1" s="1"/>
  <c r="R47" i="1"/>
  <c r="S47" i="1"/>
  <c r="S48" i="1" s="1"/>
  <c r="T47" i="1"/>
  <c r="T48" i="1" s="1"/>
  <c r="U47" i="1"/>
  <c r="V47" i="1"/>
  <c r="V46" i="1"/>
  <c r="R46" i="1"/>
  <c r="N46" i="1"/>
  <c r="U46" i="1"/>
  <c r="Q46" i="1"/>
  <c r="M46" i="1"/>
  <c r="W46" i="1" l="1"/>
  <c r="V48" i="1"/>
  <c r="O48" i="1"/>
  <c r="W47" i="1"/>
  <c r="R48" i="1"/>
  <c r="N48" i="1"/>
  <c r="Q48" i="1"/>
  <c r="U48" i="1"/>
  <c r="W48" i="1" l="1"/>
  <c r="R2" i="1" l="1"/>
  <c r="N2" i="1"/>
  <c r="P2" i="1" s="1"/>
  <c r="T2" i="1" s="1"/>
  <c r="M2" i="1"/>
  <c r="L2" i="1"/>
  <c r="O2" i="1" s="1"/>
  <c r="S2" i="1" s="1"/>
  <c r="K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 i="1"/>
  <c r="Q5"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 i="1"/>
  <c r="N5" i="1" s="1"/>
  <c r="P5" i="1"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 i="1"/>
  <c r="M5" i="1" s="1"/>
  <c r="O5" i="1" s="1"/>
  <c r="R5" i="1"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<sst xmlns="http://schemas.openxmlformats.org/spreadsheetml/2006/main" count="96" uniqueCount="90">
  <si>
    <t>height_inches (h)</t>
  </si>
  <si>
    <t>weight_pounds (w)</t>
  </si>
  <si>
    <t>h_min</t>
  </si>
  <si>
    <t>h_max</t>
  </si>
  <si>
    <t>w_min</t>
  </si>
  <si>
    <t>w_max</t>
  </si>
  <si>
    <t>n</t>
  </si>
  <si>
    <t>k</t>
  </si>
  <si>
    <t>h_mean</t>
  </si>
  <si>
    <t>w_mean</t>
  </si>
  <si>
    <t>h_d = h_max - h_min</t>
  </si>
  <si>
    <t>h_l = h_d / k</t>
  </si>
  <si>
    <t>w_l = w_d / k</t>
  </si>
  <si>
    <t>w_d = w_max - w_min</t>
  </si>
  <si>
    <t>Корреляционное облако имеет довольно четкую эллиптическую форму. Наблюдаются несколько значений-выбросов. Скопление точек становится более плотным в середине облака, следовательно можно предположить что тут будет линейная зависимость.</t>
  </si>
  <si>
    <t>h_i</t>
  </si>
  <si>
    <t>h_i+1</t>
  </si>
  <si>
    <t>w_i</t>
  </si>
  <si>
    <t>w_i+1</t>
  </si>
  <si>
    <t>w \ h</t>
  </si>
  <si>
    <t>Интервальная корреляционная таблица</t>
  </si>
  <si>
    <t>n_h_i</t>
  </si>
  <si>
    <t>n_w_i</t>
  </si>
  <si>
    <r>
      <t xml:space="preserve">Выборочный коэффициент корреляции равен 0.488 - это означает что линейная зависимость между </t>
    </r>
    <r>
      <rPr>
        <i/>
        <sz val="11"/>
        <color theme="1"/>
        <rFont val="Calibri"/>
        <family val="2"/>
        <scheme val="minor"/>
      </rPr>
      <t xml:space="preserve">h и </t>
    </r>
    <r>
      <rPr>
        <sz val="11"/>
        <color theme="1"/>
        <rFont val="Calibri"/>
        <family val="2"/>
        <scheme val="minor"/>
      </rPr>
      <t>w присутствует, но в слабой форме.</t>
    </r>
  </si>
  <si>
    <t>усл_ср_w</t>
  </si>
  <si>
    <t>При идеальной линейной зависимости условные средние имели бы равные значения и равнялись общему условному. Однако мы видим небольшие скачки то в одну, то в другую сторону - этот факт подтверждает то, что у нас имеется слабая линейная зависимость.</t>
  </si>
  <si>
    <t>усл_ср_h</t>
  </si>
  <si>
    <t>a</t>
  </si>
  <si>
    <t>b</t>
  </si>
  <si>
    <t>В итоге имеем уравнение: w' = 2.7817 * h - 61.3736</t>
  </si>
  <si>
    <t>Коэффициенты для линейной зависимости вида w' = a * h + b</t>
  </si>
  <si>
    <t xml:space="preserve">a = </t>
  </si>
  <si>
    <t>hw_mean</t>
  </si>
  <si>
    <t>h2_mean</t>
  </si>
  <si>
    <t>w2_mean</t>
  </si>
  <si>
    <t>h_s = h2_mean - h_mean^2</t>
  </si>
  <si>
    <t>w_s = w2_mean - w_mean^2</t>
  </si>
  <si>
    <t>hw_s = (hw_mean - h_mean * w_mean) / sqrt(h_s * w_s) = выб_коэф_корреляции</t>
  </si>
  <si>
    <t>a = (hw_mean - h_mean * w_mean) / h_s</t>
  </si>
  <si>
    <t>b = w_mean - h_mean * a</t>
  </si>
  <si>
    <t>w'</t>
  </si>
  <si>
    <t>h2 = h^2</t>
  </si>
  <si>
    <t>w2 = w^2</t>
  </si>
  <si>
    <t>hw = h*w</t>
  </si>
  <si>
    <t>w' = a * h + b</t>
  </si>
  <si>
    <t>w'2 = (w')^2</t>
  </si>
  <si>
    <t>w_d = w - w'</t>
  </si>
  <si>
    <t>w_d2 = w_d^2</t>
  </si>
  <si>
    <t>Объясненная дисперсия d(w') = mean(w'^2) - mean(w')^2</t>
  </si>
  <si>
    <t>d(w')</t>
  </si>
  <si>
    <t>Дисперсия остатков d(w_d) = mean(w_d^2) - mean(w_d)^2</t>
  </si>
  <si>
    <t>d(w_d)</t>
  </si>
  <si>
    <t>R^2</t>
  </si>
  <si>
    <t>Коэффициент детерминации R^2 = d(w') / w_s (коэффициент детерминации = объясненная дисперсия / дисперсия w)</t>
  </si>
  <si>
    <t>Для оценки силы связи корреляции применяется шкала Чеддока: слабая — от 0,1 до 0,3; умеренная — от 0,3 до 0,5; заметная — от 0,5 до 0,7; высокая — от 0,7 до 0,9; весьма высокая (сильная) — от 0,9 до 1,0.</t>
  </si>
  <si>
    <t>У нас слабая зависимость (0.238).</t>
  </si>
  <si>
    <t>Найдем значение F-статистики (F-тест) - статистический критерий, тестовая статистика которого при выполнении нулевой гипотезы имеет распределение Фишера</t>
  </si>
  <si>
    <t>Число степеней свободы = 200 - 1 - 1 = 198</t>
  </si>
  <si>
    <t>Стандартная ошибка регрессии = sqrt(размер_выборки / число_степеней_свободы * дисперсия_остатков)</t>
  </si>
  <si>
    <t>S</t>
  </si>
  <si>
    <t>S_a</t>
  </si>
  <si>
    <t>S_b</t>
  </si>
  <si>
    <t>Уровень значимости alpha</t>
  </si>
  <si>
    <t>Значение F-статистики = R^2 / (1 - R^2) * (размер_выборки - k - 1) / k:</t>
  </si>
  <si>
    <t>Квантиль распределения Фишера с параметрами (alpha, k, число_степеней_свободы)</t>
  </si>
  <si>
    <t>Итого, так как значение F-теста больше, чем значение квантиля распределения Фишера, то уравнение является статистически значимым.</t>
  </si>
  <si>
    <t>Проверим на значимость коэффициенты a и b</t>
  </si>
  <si>
    <t>Стандартная ошибка параметра b = sqrt((h^2)_mean * стандартная_ошибка_регрессии^2 / размер_выборки / дисперсия_h)</t>
  </si>
  <si>
    <t>Стандартная ошибка параметра a = sqrt(стандартная_ошибка_регрессии^2 / размер_выборки / дисперсия_h)</t>
  </si>
  <si>
    <t>Квантиль распределения Стьюдента с параметрами (1-alpha, количество_степеней_свободы)</t>
  </si>
  <si>
    <t>h</t>
  </si>
  <si>
    <t>Прогноз веса при росте 79 дюймов (рассчитаная вручную модель)</t>
  </si>
  <si>
    <t>Теперь требуется выполнить аналогичные действия только для регрессионной модели, найденной с помощью встроенной функции ЛИНЕЙН.</t>
  </si>
  <si>
    <t xml:space="preserve"> = b</t>
  </si>
  <si>
    <t xml:space="preserve">s_a = </t>
  </si>
  <si>
    <t xml:space="preserve"> = s_b</t>
  </si>
  <si>
    <t xml:space="preserve">R^2 = </t>
  </si>
  <si>
    <t xml:space="preserve"> = s</t>
  </si>
  <si>
    <t xml:space="preserve">F-тест = </t>
  </si>
  <si>
    <t xml:space="preserve"> = ст_св</t>
  </si>
  <si>
    <t xml:space="preserve">n * d(w') = </t>
  </si>
  <si>
    <t xml:space="preserve"> = n * d(w_d)</t>
  </si>
  <si>
    <t>Уравнение:</t>
  </si>
  <si>
    <t>w' = 2.7817 * h - 61.3736</t>
  </si>
  <si>
    <t xml:space="preserve">d(w') = </t>
  </si>
  <si>
    <t xml:space="preserve">d(w_d) = </t>
  </si>
  <si>
    <t>T-тест_a</t>
  </si>
  <si>
    <t>T-тест_b</t>
  </si>
  <si>
    <t>Итого, так как значений T-тестов больше чем значение квантиля, то коэффициенты a и b - статистически значимы.</t>
  </si>
  <si>
    <t>Вывод: в данной работе было необходимо произвести анализ выборок на их зависимость. Исходя из полученных результатов мы увидели, что есть слабое линейное соответствие между данными. Не смотря на слабую взаимосвязь произведенные тесты имеют статистическое значение. Следует помнить, что ежду данными могут быть ошибки, может быть более комплексная зависимость включающая в себя другие факторы влияющие связь данных величин.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</si>
</sst>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15">
    <xf numFmtId="0" fontId="0" fillId="0" borderId="0" xfId="0"/>
    <xf numFmtId="0" fontId="0" fillId="0" borderId="0" xfId="0" applyAlignment="1">
      <alignment horizontal="center"/>
    </xf>
    <xf numFmtId="0" fontId="0" fillId="0" borderId="0" xfId="0" applyBorder="1"/>
    <xf numFmtId="0" fontId="0" fillId="0" borderId="0" xfId="0"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3"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applyAlignment="1">
      <alignment horizontal="center"/>
    </xf>
    <xf numFmtId="0" fontId="0" fillId="0" borderId="8" xfId="0" applyBorder="1"/>
    <xf numFmtId="0" fontId="0" fillId="0" borderId="9" xfId="0" applyBorder="1"/>
    <xf numFmtId="0" fontId="0" fillId="0" borderId="2" xfId="0" applyBorder="1"/>
    <xf numFmtId="0" fontId="0" fillId="0" borderId="7" xfId="0" applyBorder="1"/>
    <xf numFmtId="0" fontId="1" fillId="0" borderId="4"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5" xfId="0" applyBorder="1"/>
    <xf numFmtId="0" fontId="0" fillId="0" borderId="7" xfId="0" applyBorder="1" applyAlignment="1">
      <alignment horizontal="center"/>
    </xf>
    <xf numFmtId="0" fontId="0" fillId="0" borderId="9" xfId="0" applyBorder="1"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1" fillId="0" borderId="2" xfId="0" applyFont="1" applyBorder="1" applyAlignment="1">
      <alignment horizontal="center" wrapText="1"/>
    </xf>
    <xf numFmtId="0" fontId="1" fillId="0" borderId="4" xfId="0" applyFont="1" applyBorder="1" applyAlignment="1">
      <alignment horizontal="center" wrapText="1"/>
    </xf>
    <xf numFmtId="0" fontId="1" fillId="0" borderId="0" xfId="0" applyFont="1" applyBorder="1" applyAlignment="1">
      <alignment horizontal="center" wrapText="1"/>
    </xf>
    <xf numFmtId="0" fontId="1" fillId="2" borderId="0" xfId="0" applyFont="1" applyFill="1" applyBorder="1" applyAlignment="1">
      <alignment horizontal="center" vertical="center" wrapText="1"/>
    </xf>
    <xf numFmtId="0" fontId="0" fillId="5" borderId="0" xfId="0" applyFill="1" applyBorder="1"/>
    <xf numFmtId="0" fontId="0" fillId="5" borderId="0" xfId="0" applyFont="1" applyFill="1" applyBorder="1"/>
    <xf numFmtId="0" fontId="0" fillId="2" borderId="0" xfId="0" applyFill="1" applyBorder="1"/>
    <xf numFmtId="0" fontId="1" fillId="2" borderId="2" xfId="0" applyFont="1" applyFill="1" applyBorder="1" applyAlignment="1">
      <alignment horizontal="center" vertical="center" wrapText="1"/>
    </xf>
    <xf numFmtId="0" fontId="0" fillId="5" borderId="3" xfId="0" applyFill="1" applyBorder="1"/>
    <xf numFmtId="0" fontId="0" fillId="5" borderId="4" xfId="0" applyFill="1" applyBorder="1"/>
    <xf numFmtId="0" fontId="1" fillId="2" borderId="7" xfId="0" applyFont="1" applyFill="1" applyBorder="1" applyAlignment="1">
      <alignment horizontal="center" vertical="center" wrapText="1"/>
    </xf>
    <xf numFmtId="0" fontId="0" fillId="5" borderId="8" xfId="0" applyFill="1" applyBorder="1"/>
    <xf numFmtId="0" fontId="0" fillId="5" borderId="9" xfId="0" applyFill="1" applyBorder="1"/>
    <xf numFmtId="0" fontId="1" fillId="2" borderId="4" xfId="0" applyFont="1" applyFill="1" applyBorder="1" applyAlignment="1">
      <alignment horizontal="center" vertical="center" wrapText="1"/>
    </xf>
    <xf numFmtId="0" fontId="0" fillId="5" borderId="5" xfId="0" applyFill="1" applyBorder="1"/>
    <xf numFmtId="0" fontId="0" fillId="5" borderId="6" xfId="0" applyFill="1" applyBorder="1"/>
    <xf numFmtId="0" fontId="0" fillId="5" borderId="7" xfId="0" applyFill="1" applyBorder="1"/>
    <xf numFmtId="0" fontId="1" fillId="2" borderId="13" xfId="0" applyFont="1" applyFill="1" applyBorder="1" applyAlignment="1">
      <alignment horizontal="center" vertical="center"/>
    </xf>
    <xf numFmtId="0" fontId="1" fillId="2" borderId="10" xfId="0" applyFont="1" applyFill="1" applyBorder="1" applyAlignment="1">
      <alignment horizontal="center" vertical="center"/>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7" xfId="0" applyFont="1" applyFill="1" applyBorder="1" applyAlignment="1">
      <alignment horizontal="center" wrapText="1"/>
    </xf>
    <xf numFmtId="0" fontId="1" fillId="3" borderId="9" xfId="0" applyFont="1" applyFill="1" applyBorder="1" applyAlignment="1">
      <alignment horizontal="center" wrapText="1"/>
    </xf>
    <xf numFmtId="0" fontId="0" fillId="3" borderId="11" xfId="0" applyFill="1" applyBorder="1"/>
    <xf numFmtId="0" fontId="0" fillId="3" borderId="11" xfId="0" applyFont="1" applyFill="1" applyBorder="1"/>
    <xf numFmtId="0" fontId="0" fillId="3" borderId="12" xfId="0" applyFont="1" applyFill="1" applyBorder="1"/>
    <xf numFmtId="0" fontId="0" fillId="3" borderId="15" xfId="0" applyFont="1" applyFill="1" applyBorder="1"/>
    <xf numFmtId="0" fontId="0" fillId="3" borderId="14" xfId="0" applyFont="1" applyFill="1" applyBorder="1"/>
    <xf numFmtId="0" fontId="0" fillId="4" borderId="1" xfId="0" applyFont="1" applyFill="1" applyBorder="1"/>
    <xf numFmtId="0" fontId="0" fillId="4" borderId="12" xfId="0" applyFont="1" applyFill="1" applyBorder="1"/>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3" borderId="15" xfId="0" applyFill="1" applyBorder="1"/>
    <xf numFmtId="0" fontId="0" fillId="4" borderId="14" xfId="0" applyFill="1" applyBorder="1"/>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xf>
    <xf numFmtId="0" fontId="0" fillId="0" borderId="1" xfId="0"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xf numFmtId="0" fontId="0" fillId="0" borderId="8" xfId="0" applyBorder="1" applyAlignment="1">
      <alignment horizontal="right"/>
    </xf>
    <xf numFmtId="0" fontId="0" fillId="0" borderId="9" xfId="0" applyBorder="1" applyAlignment="1">
      <alignment horizontal="right"/>
    </xf>
    <xf numFmtId="0" fontId="1" fillId="0" borderId="7" xfId="0" applyFont="1" applyBorder="1" applyAlignment="1">
      <alignment horizontal="center" vertical="center"/>
    </xf>
    <xf numFmtId="0" fontId="1" fillId="0" borderId="3" xfId="0" applyFont="1" applyBorder="1" applyAlignment="1">
      <alignment horizontal="center" wrapText="1"/>
    </xf>
    <xf numFmtId="9" fontId="0" fillId="0" borderId="13" xfId="1" applyFont="1" applyBorder="1" applyAlignment="1">
      <alignment horizontal="right"/>
    </xf>
    <xf numFmtId="9" fontId="0" fillId="0" borderId="14" xfId="1" applyFont="1" applyBorder="1" applyAlignment="1">
      <alignment horizontal="right"/>
    </xf>
    <xf numFmtId="0" fontId="4" fillId="0" borderId="0" xfId="0" applyFont="1"/>
    <xf numFmtId="0" fontId="0" fillId="0" borderId="3"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0" xfId="0" applyBorder="1" applyAlignment="1">
      <alignment horizontal="center"/>
    </xf>
    <xf numFmtId="0" fontId="0" fillId="0" borderId="6" xfId="0"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5" xfId="0" applyFont="1" applyBorder="1" applyAlignment="1">
      <alignment horizontal="center"/>
    </xf>
    <xf numFmtId="0" fontId="1" fillId="0" borderId="0" xfId="0" applyFont="1" applyBorder="1" applyAlignment="1">
      <alignment horizontal="center"/>
    </xf>
    <xf numFmtId="0" fontId="1" fillId="0" borderId="6" xfId="0" applyFont="1" applyBorder="1" applyAlignment="1">
      <alignment horizontal="center"/>
    </xf>
    <xf numFmtId="0" fontId="0" fillId="0" borderId="6" xfId="0" applyBorder="1" applyAlignment="1">
      <alignment horizontal="right"/>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0" borderId="5" xfId="0" applyBorder="1" applyAlignment="1">
      <alignment horizontal="right"/>
    </xf>
    <xf numFmtId="0" fontId="1" fillId="0" borderId="0" xfId="0" applyFont="1" applyBorder="1" applyAlignment="1">
      <alignment horizontal="right"/>
    </xf>
    <xf numFmtId="0" fontId="0" fillId="0" borderId="0" xfId="0" applyBorder="1" applyAlignment="1">
      <alignment horizontal="left"/>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Корреляционное</a:t>
            </a:r>
            <a:r>
              <a:rPr lang="ru-RU" baseline="0"/>
              <a:t> облако</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249706050153643E-2"/>
          <c:y val="9.6071346552577236E-2"/>
          <c:w val="0.92374466526424637"/>
          <c:h val="0.79980620241996114"/>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Sheet1!$A$2:$A$201</c:f>
              <c:numCache>
                <c:formatCode>General</c:formatCode>
                <c:ptCount val="200"/>
                <c:pt idx="0">
                  <c:v>70.051460000000006</c:v>
                </c:pt>
                <c:pt idx="1">
                  <c:v>67.304969999999997</c:v>
                </c:pt>
                <c:pt idx="2">
                  <c:v>66.398129999999995</c:v>
                </c:pt>
                <c:pt idx="3">
                  <c:v>69.736369999999994</c:v>
                </c:pt>
                <c:pt idx="4">
                  <c:v>68.716589999999997</c:v>
                </c:pt>
                <c:pt idx="5">
                  <c:v>63.884369999999997</c:v>
                </c:pt>
                <c:pt idx="6">
                  <c:v>68.408510000000007</c:v>
                </c:pt>
                <c:pt idx="7">
                  <c:v>67.932509999999994</c:v>
                </c:pt>
                <c:pt idx="8">
                  <c:v>70.696740000000005</c:v>
                </c:pt>
                <c:pt idx="9">
                  <c:v>68.950829999999996</c:v>
                </c:pt>
                <c:pt idx="10">
                  <c:v>66.494569999999996</c:v>
                </c:pt>
                <c:pt idx="11">
                  <c:v>68.593689999999995</c:v>
                </c:pt>
                <c:pt idx="12">
                  <c:v>66.264420000000001</c:v>
                </c:pt>
                <c:pt idx="13">
                  <c:v>69.586560000000006</c:v>
                </c:pt>
                <c:pt idx="14">
                  <c:v>67.35651</c:v>
                </c:pt>
                <c:pt idx="15">
                  <c:v>69.687269999999998</c:v>
                </c:pt>
                <c:pt idx="16">
                  <c:v>68.440460000000002</c:v>
                </c:pt>
                <c:pt idx="17">
                  <c:v>68.479730000000004</c:v>
                </c:pt>
                <c:pt idx="18">
                  <c:v>65.454629999999995</c:v>
                </c:pt>
                <c:pt idx="19">
                  <c:v>66.808499999999995</c:v>
                </c:pt>
                <c:pt idx="20">
                  <c:v>70.052120000000002</c:v>
                </c:pt>
                <c:pt idx="21">
                  <c:v>67.435580000000002</c:v>
                </c:pt>
                <c:pt idx="22">
                  <c:v>66.543059999999997</c:v>
                </c:pt>
                <c:pt idx="23">
                  <c:v>67.323530000000005</c:v>
                </c:pt>
                <c:pt idx="24">
                  <c:v>67.972499999999997</c:v>
                </c:pt>
                <c:pt idx="25">
                  <c:v>69.038579999999996</c:v>
                </c:pt>
                <c:pt idx="26">
                  <c:v>67.69453</c:v>
                </c:pt>
                <c:pt idx="27">
                  <c:v>69.305080000000004</c:v>
                </c:pt>
                <c:pt idx="28">
                  <c:v>65.396429999999995</c:v>
                </c:pt>
                <c:pt idx="29">
                  <c:v>68.356380000000001</c:v>
                </c:pt>
                <c:pt idx="30">
                  <c:v>65.368880000000004</c:v>
                </c:pt>
                <c:pt idx="31">
                  <c:v>68.364990000000006</c:v>
                </c:pt>
                <c:pt idx="32">
                  <c:v>71.157020000000003</c:v>
                </c:pt>
                <c:pt idx="33">
                  <c:v>69.255319999999998</c:v>
                </c:pt>
                <c:pt idx="34">
                  <c:v>66.698400000000007</c:v>
                </c:pt>
                <c:pt idx="35">
                  <c:v>69.175479999999993</c:v>
                </c:pt>
                <c:pt idx="36">
                  <c:v>68.31559</c:v>
                </c:pt>
                <c:pt idx="37">
                  <c:v>67.816159999999996</c:v>
                </c:pt>
                <c:pt idx="38">
                  <c:v>68.561229999999995</c:v>
                </c:pt>
                <c:pt idx="39">
                  <c:v>66.230850000000004</c:v>
                </c:pt>
                <c:pt idx="40">
                  <c:v>68.950990000000004</c:v>
                </c:pt>
                <c:pt idx="41">
                  <c:v>67.867609999999999</c:v>
                </c:pt>
                <c:pt idx="42">
                  <c:v>68.05498</c:v>
                </c:pt>
                <c:pt idx="43">
                  <c:v>67.739859999999993</c:v>
                </c:pt>
                <c:pt idx="44">
                  <c:v>69.836410000000001</c:v>
                </c:pt>
                <c:pt idx="45">
                  <c:v>70.685739999999996</c:v>
                </c:pt>
                <c:pt idx="46">
                  <c:v>64.543850000000006</c:v>
                </c:pt>
                <c:pt idx="47">
                  <c:v>67.931120000000007</c:v>
                </c:pt>
                <c:pt idx="48">
                  <c:v>67.772909999999996</c:v>
                </c:pt>
                <c:pt idx="49">
                  <c:v>69.413120000000006</c:v>
                </c:pt>
                <c:pt idx="50">
                  <c:v>67.772130000000004</c:v>
                </c:pt>
                <c:pt idx="51">
                  <c:v>67.79965</c:v>
                </c:pt>
                <c:pt idx="52">
                  <c:v>67.983130000000003</c:v>
                </c:pt>
                <c:pt idx="53">
                  <c:v>69.979830000000007</c:v>
                </c:pt>
                <c:pt idx="54">
                  <c:v>63.832610000000003</c:v>
                </c:pt>
                <c:pt idx="55">
                  <c:v>65.572119999999998</c:v>
                </c:pt>
                <c:pt idx="56">
                  <c:v>69.343069999999997</c:v>
                </c:pt>
                <c:pt idx="57">
                  <c:v>67.28398</c:v>
                </c:pt>
                <c:pt idx="58">
                  <c:v>68.743499999999997</c:v>
                </c:pt>
                <c:pt idx="59">
                  <c:v>69.031120000000001</c:v>
                </c:pt>
                <c:pt idx="60">
                  <c:v>69.644260000000003</c:v>
                </c:pt>
                <c:pt idx="61">
                  <c:v>66.700519999999997</c:v>
                </c:pt>
                <c:pt idx="62">
                  <c:v>67.914299999999997</c:v>
                </c:pt>
                <c:pt idx="63">
                  <c:v>64.368489999999994</c:v>
                </c:pt>
                <c:pt idx="64">
                  <c:v>65.875069999999994</c:v>
                </c:pt>
                <c:pt idx="65">
                  <c:v>67.074269999999999</c:v>
                </c:pt>
                <c:pt idx="66">
                  <c:v>69.34545</c:v>
                </c:pt>
                <c:pt idx="67">
                  <c:v>69.832120000000003</c:v>
                </c:pt>
                <c:pt idx="68">
                  <c:v>66.102450000000005</c:v>
                </c:pt>
                <c:pt idx="69">
                  <c:v>69.262050000000002</c:v>
                </c:pt>
                <c:pt idx="70">
                  <c:v>68.335250000000002</c:v>
                </c:pt>
                <c:pt idx="71">
                  <c:v>69.380170000000007</c:v>
                </c:pt>
                <c:pt idx="72">
                  <c:v>69.128870000000006</c:v>
                </c:pt>
                <c:pt idx="73">
                  <c:v>68.446579999999997</c:v>
                </c:pt>
                <c:pt idx="74">
                  <c:v>66.345420000000004</c:v>
                </c:pt>
                <c:pt idx="75">
                  <c:v>70.032749999999993</c:v>
                </c:pt>
                <c:pt idx="76">
                  <c:v>70.165229999999994</c:v>
                </c:pt>
                <c:pt idx="77">
                  <c:v>68.183239999999998</c:v>
                </c:pt>
                <c:pt idx="78">
                  <c:v>70.123779999999996</c:v>
                </c:pt>
                <c:pt idx="79">
                  <c:v>68.429599999999994</c:v>
                </c:pt>
                <c:pt idx="80">
                  <c:v>66.43974</c:v>
                </c:pt>
                <c:pt idx="81">
                  <c:v>71.727029999999999</c:v>
                </c:pt>
                <c:pt idx="82">
                  <c:v>70.723870000000005</c:v>
                </c:pt>
                <c:pt idx="83">
                  <c:v>68.090220000000002</c:v>
                </c:pt>
                <c:pt idx="84">
                  <c:v>70.129760000000005</c:v>
                </c:pt>
                <c:pt idx="85">
                  <c:v>66.053929999999994</c:v>
                </c:pt>
                <c:pt idx="86">
                  <c:v>69.770589999999999</c:v>
                </c:pt>
                <c:pt idx="87">
                  <c:v>68.158159999999995</c:v>
                </c:pt>
                <c:pt idx="88">
                  <c:v>69.913719999999998</c:v>
                </c:pt>
                <c:pt idx="89">
                  <c:v>65.344610000000003</c:v>
                </c:pt>
                <c:pt idx="90">
                  <c:v>68.356210000000004</c:v>
                </c:pt>
                <c:pt idx="91">
                  <c:v>64.505849999999995</c:v>
                </c:pt>
                <c:pt idx="92">
                  <c:v>67.954909999999998</c:v>
                </c:pt>
                <c:pt idx="93">
                  <c:v>68.576210000000003</c:v>
                </c:pt>
                <c:pt idx="94">
                  <c:v>68.122569999999996</c:v>
                </c:pt>
                <c:pt idx="95">
                  <c:v>68.775829999999999</c:v>
                </c:pt>
                <c:pt idx="96">
                  <c:v>67.925929999999994</c:v>
                </c:pt>
                <c:pt idx="97">
                  <c:v>69.148399999999995</c:v>
                </c:pt>
                <c:pt idx="98">
                  <c:v>63.205390000000001</c:v>
                </c:pt>
                <c:pt idx="99">
                  <c:v>69.244200000000006</c:v>
                </c:pt>
                <c:pt idx="100">
                  <c:v>65.886449999999996</c:v>
                </c:pt>
                <c:pt idx="101">
                  <c:v>67.851860000000002</c:v>
                </c:pt>
                <c:pt idx="102">
                  <c:v>65.574179999999998</c:v>
                </c:pt>
                <c:pt idx="103">
                  <c:v>66.708190000000002</c:v>
                </c:pt>
                <c:pt idx="104">
                  <c:v>69.171999999999997</c:v>
                </c:pt>
                <c:pt idx="105">
                  <c:v>69.235929999999996</c:v>
                </c:pt>
                <c:pt idx="106">
                  <c:v>67.572320000000005</c:v>
                </c:pt>
                <c:pt idx="107">
                  <c:v>69.505179999999996</c:v>
                </c:pt>
                <c:pt idx="108">
                  <c:v>70.602879999999999</c:v>
                </c:pt>
                <c:pt idx="109">
                  <c:v>66.541520000000006</c:v>
                </c:pt>
                <c:pt idx="110">
                  <c:v>69.114940000000004</c:v>
                </c:pt>
                <c:pt idx="111">
                  <c:v>69.950999999999993</c:v>
                </c:pt>
                <c:pt idx="112">
                  <c:v>67.703469999999996</c:v>
                </c:pt>
                <c:pt idx="113">
                  <c:v>69.190280000000001</c:v>
                </c:pt>
                <c:pt idx="114">
                  <c:v>67.804699999999997</c:v>
                </c:pt>
                <c:pt idx="115">
                  <c:v>67.625320000000002</c:v>
                </c:pt>
                <c:pt idx="116">
                  <c:v>70.368979999999993</c:v>
                </c:pt>
                <c:pt idx="117">
                  <c:v>71.025949999999995</c:v>
                </c:pt>
                <c:pt idx="118">
                  <c:v>69.845200000000006</c:v>
                </c:pt>
                <c:pt idx="119">
                  <c:v>67.086380000000005</c:v>
                </c:pt>
                <c:pt idx="120">
                  <c:v>68.620130000000003</c:v>
                </c:pt>
                <c:pt idx="121">
                  <c:v>64.372749999999996</c:v>
                </c:pt>
                <c:pt idx="122">
                  <c:v>65.935230000000004</c:v>
                </c:pt>
                <c:pt idx="123">
                  <c:v>65.242850000000004</c:v>
                </c:pt>
                <c:pt idx="124">
                  <c:v>70.514809999999997</c:v>
                </c:pt>
                <c:pt idx="125">
                  <c:v>66.611289999999997</c:v>
                </c:pt>
                <c:pt idx="126">
                  <c:v>67.133939999999996</c:v>
                </c:pt>
                <c:pt idx="127">
                  <c:v>66.776340000000005</c:v>
                </c:pt>
                <c:pt idx="128">
                  <c:v>67.693849999999998</c:v>
                </c:pt>
                <c:pt idx="129">
                  <c:v>67.828090000000003</c:v>
                </c:pt>
                <c:pt idx="130">
                  <c:v>66.632540000000006</c:v>
                </c:pt>
                <c:pt idx="131">
                  <c:v>67.622290000000007</c:v>
                </c:pt>
                <c:pt idx="132">
                  <c:v>69.66798</c:v>
                </c:pt>
                <c:pt idx="133">
                  <c:v>62.750390000000003</c:v>
                </c:pt>
                <c:pt idx="134">
                  <c:v>64.538780000000003</c:v>
                </c:pt>
                <c:pt idx="135">
                  <c:v>68.019289999999998</c:v>
                </c:pt>
                <c:pt idx="136">
                  <c:v>66.385509999999996</c:v>
                </c:pt>
                <c:pt idx="137">
                  <c:v>70.187240000000003</c:v>
                </c:pt>
                <c:pt idx="138">
                  <c:v>64.646000000000001</c:v>
                </c:pt>
                <c:pt idx="139">
                  <c:v>67.488190000000003</c:v>
                </c:pt>
                <c:pt idx="140">
                  <c:v>72.018069999999994</c:v>
                </c:pt>
                <c:pt idx="141">
                  <c:v>66.613560000000007</c:v>
                </c:pt>
                <c:pt idx="142">
                  <c:v>65.818029999999993</c:v>
                </c:pt>
                <c:pt idx="143">
                  <c:v>71.161850000000001</c:v>
                </c:pt>
                <c:pt idx="144">
                  <c:v>68.519769999999994</c:v>
                </c:pt>
                <c:pt idx="145">
                  <c:v>64.960880000000003</c:v>
                </c:pt>
                <c:pt idx="146">
                  <c:v>66.882679999999993</c:v>
                </c:pt>
                <c:pt idx="147">
                  <c:v>70.353099999999998</c:v>
                </c:pt>
                <c:pt idx="148">
                  <c:v>67.717439999999996</c:v>
                </c:pt>
                <c:pt idx="149">
                  <c:v>66.033330000000007</c:v>
                </c:pt>
                <c:pt idx="150">
                  <c:v>68.982600000000005</c:v>
                </c:pt>
                <c:pt idx="151">
                  <c:v>68.602369999999993</c:v>
                </c:pt>
                <c:pt idx="152">
                  <c:v>66.840800000000002</c:v>
                </c:pt>
                <c:pt idx="153">
                  <c:v>68.036590000000004</c:v>
                </c:pt>
                <c:pt idx="154">
                  <c:v>64.795860000000005</c:v>
                </c:pt>
                <c:pt idx="155">
                  <c:v>70.551259999999999</c:v>
                </c:pt>
                <c:pt idx="156">
                  <c:v>68.281660000000002</c:v>
                </c:pt>
                <c:pt idx="157">
                  <c:v>68.775739999999999</c:v>
                </c:pt>
                <c:pt idx="158">
                  <c:v>67.093149999999994</c:v>
                </c:pt>
                <c:pt idx="159">
                  <c:v>70.143029999999996</c:v>
                </c:pt>
                <c:pt idx="160">
                  <c:v>65.468329999999995</c:v>
                </c:pt>
                <c:pt idx="161">
                  <c:v>69.022750000000002</c:v>
                </c:pt>
                <c:pt idx="162">
                  <c:v>74.248990000000006</c:v>
                </c:pt>
                <c:pt idx="163">
                  <c:v>64.085750000000004</c:v>
                </c:pt>
                <c:pt idx="164">
                  <c:v>67.579769999999996</c:v>
                </c:pt>
                <c:pt idx="165">
                  <c:v>69.193950000000001</c:v>
                </c:pt>
                <c:pt idx="166">
                  <c:v>64.486149999999995</c:v>
                </c:pt>
                <c:pt idx="167">
                  <c:v>68.758880000000005</c:v>
                </c:pt>
                <c:pt idx="168">
                  <c:v>68.451840000000004</c:v>
                </c:pt>
                <c:pt idx="169">
                  <c:v>66.442049999999995</c:v>
                </c:pt>
                <c:pt idx="170">
                  <c:v>70.175600000000003</c:v>
                </c:pt>
                <c:pt idx="171">
                  <c:v>67.138599999999997</c:v>
                </c:pt>
                <c:pt idx="172">
                  <c:v>66.915480000000002</c:v>
                </c:pt>
                <c:pt idx="173">
                  <c:v>68.633570000000006</c:v>
                </c:pt>
                <c:pt idx="174">
                  <c:v>66.956969999999998</c:v>
                </c:pt>
                <c:pt idx="175">
                  <c:v>69.973510000000005</c:v>
                </c:pt>
                <c:pt idx="176">
                  <c:v>66.92568</c:v>
                </c:pt>
                <c:pt idx="177">
                  <c:v>68.763469999999998</c:v>
                </c:pt>
                <c:pt idx="178">
                  <c:v>67.40692</c:v>
                </c:pt>
                <c:pt idx="179">
                  <c:v>65.74615</c:v>
                </c:pt>
                <c:pt idx="180">
                  <c:v>65.883570000000006</c:v>
                </c:pt>
                <c:pt idx="181">
                  <c:v>66.776229999999998</c:v>
                </c:pt>
                <c:pt idx="182">
                  <c:v>66.962199999999996</c:v>
                </c:pt>
                <c:pt idx="183">
                  <c:v>63.466419999999999</c:v>
                </c:pt>
                <c:pt idx="184">
                  <c:v>68.352239999999995</c:v>
                </c:pt>
                <c:pt idx="185">
                  <c:v>64.431470000000004</c:v>
                </c:pt>
                <c:pt idx="186">
                  <c:v>63.521749999999997</c:v>
                </c:pt>
                <c:pt idx="187">
                  <c:v>66.861959999999996</c:v>
                </c:pt>
                <c:pt idx="188">
                  <c:v>65.536510000000007</c:v>
                </c:pt>
                <c:pt idx="189">
                  <c:v>71.823059999999998</c:v>
                </c:pt>
                <c:pt idx="190">
                  <c:v>68.865380000000002</c:v>
                </c:pt>
                <c:pt idx="191">
                  <c:v>70.792069999999995</c:v>
                </c:pt>
                <c:pt idx="192">
                  <c:v>69.021389999999997</c:v>
                </c:pt>
                <c:pt idx="193">
                  <c:v>67.352699999999999</c:v>
                </c:pt>
                <c:pt idx="194">
                  <c:v>66.329400000000007</c:v>
                </c:pt>
                <c:pt idx="195">
                  <c:v>67.757919999999999</c:v>
                </c:pt>
                <c:pt idx="196">
                  <c:v>68.647959999999998</c:v>
                </c:pt>
                <c:pt idx="197">
                  <c:v>68.187839999999994</c:v>
                </c:pt>
                <c:pt idx="198">
                  <c:v>71.539779999999993</c:v>
                </c:pt>
                <c:pt idx="199">
                  <c:v>68.589590000000001</c:v>
                </c:pt>
              </c:numCache>
            </c:numRef>
          </c:xVal>
          <c:yVal>
            <c:numRef>
              <c:f>Sheet1!$B$2:$B$201</c:f>
              <c:numCache>
                <c:formatCode>General</c:formatCode>
                <c:ptCount val="200"/>
                <c:pt idx="0">
                  <c:v>134.66550000000001</c:v>
                </c:pt>
                <c:pt idx="1">
                  <c:v>122.0232</c:v>
                </c:pt>
                <c:pt idx="2">
                  <c:v>128.3502</c:v>
                </c:pt>
                <c:pt idx="3">
                  <c:v>130.6354</c:v>
                </c:pt>
                <c:pt idx="4">
                  <c:v>131.71700000000001</c:v>
                </c:pt>
                <c:pt idx="5">
                  <c:v>108.61320000000001</c:v>
                </c:pt>
                <c:pt idx="6">
                  <c:v>114.5673</c:v>
                </c:pt>
                <c:pt idx="7">
                  <c:v>133.5136</c:v>
                </c:pt>
                <c:pt idx="8">
                  <c:v>135.86410000000001</c:v>
                </c:pt>
                <c:pt idx="9">
                  <c:v>148.10929999999999</c:v>
                </c:pt>
                <c:pt idx="10">
                  <c:v>123.5179</c:v>
                </c:pt>
                <c:pt idx="11">
                  <c:v>120.84059999999999</c:v>
                </c:pt>
                <c:pt idx="12">
                  <c:v>116.2666</c:v>
                </c:pt>
                <c:pt idx="13">
                  <c:v>123.8986</c:v>
                </c:pt>
                <c:pt idx="14">
                  <c:v>119.32</c:v>
                </c:pt>
                <c:pt idx="15">
                  <c:v>119.4097</c:v>
                </c:pt>
                <c:pt idx="16">
                  <c:v>124.5933</c:v>
                </c:pt>
                <c:pt idx="17">
                  <c:v>130.8802</c:v>
                </c:pt>
                <c:pt idx="18">
                  <c:v>118.2058</c:v>
                </c:pt>
                <c:pt idx="19">
                  <c:v>109.6357</c:v>
                </c:pt>
                <c:pt idx="20">
                  <c:v>140.22980000000001</c:v>
                </c:pt>
                <c:pt idx="21">
                  <c:v>121.57640000000001</c:v>
                </c:pt>
                <c:pt idx="22">
                  <c:v>98.302620000000005</c:v>
                </c:pt>
                <c:pt idx="23">
                  <c:v>117.6173</c:v>
                </c:pt>
                <c:pt idx="24">
                  <c:v>136.5104</c:v>
                </c:pt>
                <c:pt idx="25">
                  <c:v>148.97909999999999</c:v>
                </c:pt>
                <c:pt idx="26">
                  <c:v>123.9665</c:v>
                </c:pt>
                <c:pt idx="27">
                  <c:v>133.59569999999999</c:v>
                </c:pt>
                <c:pt idx="28">
                  <c:v>117.2334</c:v>
                </c:pt>
                <c:pt idx="29">
                  <c:v>123.5943</c:v>
                </c:pt>
                <c:pt idx="30">
                  <c:v>117.76739999999999</c:v>
                </c:pt>
                <c:pt idx="31">
                  <c:v>137.2321</c:v>
                </c:pt>
                <c:pt idx="32">
                  <c:v>129.1996</c:v>
                </c:pt>
                <c:pt idx="33">
                  <c:v>142.4032</c:v>
                </c:pt>
                <c:pt idx="34">
                  <c:v>128.4838</c:v>
                </c:pt>
                <c:pt idx="35">
                  <c:v>115.3008</c:v>
                </c:pt>
                <c:pt idx="36">
                  <c:v>119.5309</c:v>
                </c:pt>
                <c:pt idx="37">
                  <c:v>121.72239999999999</c:v>
                </c:pt>
                <c:pt idx="38">
                  <c:v>142.8442</c:v>
                </c:pt>
                <c:pt idx="39">
                  <c:v>110.11709999999999</c:v>
                </c:pt>
                <c:pt idx="40">
                  <c:v>122.0958</c:v>
                </c:pt>
                <c:pt idx="41">
                  <c:v>124.8188</c:v>
                </c:pt>
                <c:pt idx="42">
                  <c:v>119.3169</c:v>
                </c:pt>
                <c:pt idx="43">
                  <c:v>132.4571</c:v>
                </c:pt>
                <c:pt idx="44">
                  <c:v>133.0316</c:v>
                </c:pt>
                <c:pt idx="45">
                  <c:v>160.88310000000001</c:v>
                </c:pt>
                <c:pt idx="46">
                  <c:v>119.127</c:v>
                </c:pt>
                <c:pt idx="47">
                  <c:v>138.51599999999999</c:v>
                </c:pt>
                <c:pt idx="48">
                  <c:v>124.8232</c:v>
                </c:pt>
                <c:pt idx="49">
                  <c:v>135.9744</c:v>
                </c:pt>
                <c:pt idx="50">
                  <c:v>116.22539999999999</c:v>
                </c:pt>
                <c:pt idx="51">
                  <c:v>139.2002</c:v>
                </c:pt>
                <c:pt idx="52">
                  <c:v>137.983</c:v>
                </c:pt>
                <c:pt idx="53">
                  <c:v>144.50839999999999</c:v>
                </c:pt>
                <c:pt idx="54">
                  <c:v>109.1938</c:v>
                </c:pt>
                <c:pt idx="55">
                  <c:v>127.22799999999999</c:v>
                </c:pt>
                <c:pt idx="56">
                  <c:v>124.5517</c:v>
                </c:pt>
                <c:pt idx="57">
                  <c:v>114.926</c:v>
                </c:pt>
                <c:pt idx="58">
                  <c:v>132.5027</c:v>
                </c:pt>
                <c:pt idx="59">
                  <c:v>125.3892</c:v>
                </c:pt>
                <c:pt idx="60">
                  <c:v>128.49879999999999</c:v>
                </c:pt>
                <c:pt idx="61">
                  <c:v>117.7319</c:v>
                </c:pt>
                <c:pt idx="62">
                  <c:v>112.95310000000001</c:v>
                </c:pt>
                <c:pt idx="63">
                  <c:v>126.1835</c:v>
                </c:pt>
                <c:pt idx="64">
                  <c:v>118.79340000000001</c:v>
                </c:pt>
                <c:pt idx="65">
                  <c:v>125.4388</c:v>
                </c:pt>
                <c:pt idx="66">
                  <c:v>124.9451</c:v>
                </c:pt>
                <c:pt idx="67">
                  <c:v>145.51390000000001</c:v>
                </c:pt>
                <c:pt idx="68">
                  <c:v>116.78360000000001</c:v>
                </c:pt>
                <c:pt idx="69">
                  <c:v>132.52160000000001</c:v>
                </c:pt>
                <c:pt idx="70">
                  <c:v>114.8933</c:v>
                </c:pt>
                <c:pt idx="71">
                  <c:v>122.85939999999999</c:v>
                </c:pt>
                <c:pt idx="72">
                  <c:v>130.57820000000001</c:v>
                </c:pt>
                <c:pt idx="73">
                  <c:v>119.1058</c:v>
                </c:pt>
                <c:pt idx="74">
                  <c:v>133.82040000000001</c:v>
                </c:pt>
                <c:pt idx="75">
                  <c:v>128.5779</c:v>
                </c:pt>
                <c:pt idx="76">
                  <c:v>139.0179</c:v>
                </c:pt>
                <c:pt idx="77">
                  <c:v>101.2876</c:v>
                </c:pt>
                <c:pt idx="78">
                  <c:v>140.958</c:v>
                </c:pt>
                <c:pt idx="79">
                  <c:v>134.6146</c:v>
                </c:pt>
                <c:pt idx="80">
                  <c:v>129.94820000000001</c:v>
                </c:pt>
                <c:pt idx="81">
                  <c:v>139.06399999999999</c:v>
                </c:pt>
                <c:pt idx="82">
                  <c:v>135.1996</c:v>
                </c:pt>
                <c:pt idx="83">
                  <c:v>129.68199999999999</c:v>
                </c:pt>
                <c:pt idx="84">
                  <c:v>129.1395</c:v>
                </c:pt>
                <c:pt idx="85">
                  <c:v>129.0051</c:v>
                </c:pt>
                <c:pt idx="86">
                  <c:v>112.73569999999999</c:v>
                </c:pt>
                <c:pt idx="87">
                  <c:v>126.1123</c:v>
                </c:pt>
                <c:pt idx="88">
                  <c:v>118.3724</c:v>
                </c:pt>
                <c:pt idx="89">
                  <c:v>122.9731</c:v>
                </c:pt>
                <c:pt idx="90">
                  <c:v>130.3663</c:v>
                </c:pt>
                <c:pt idx="91">
                  <c:v>114.226</c:v>
                </c:pt>
                <c:pt idx="92">
                  <c:v>115.7854</c:v>
                </c:pt>
                <c:pt idx="93">
                  <c:v>137.95259999999999</c:v>
                </c:pt>
                <c:pt idx="94">
                  <c:v>112.2435</c:v>
                </c:pt>
                <c:pt idx="95">
                  <c:v>137.23699999999999</c:v>
                </c:pt>
                <c:pt idx="96">
                  <c:v>124.9418</c:v>
                </c:pt>
                <c:pt idx="97">
                  <c:v>135.09610000000001</c:v>
                </c:pt>
                <c:pt idx="98">
                  <c:v>114.4199</c:v>
                </c:pt>
                <c:pt idx="99">
                  <c:v>122.1823</c:v>
                </c:pt>
                <c:pt idx="100">
                  <c:v>129.375</c:v>
                </c:pt>
                <c:pt idx="101">
                  <c:v>129.94479999999999</c:v>
                </c:pt>
                <c:pt idx="102">
                  <c:v>140.45570000000001</c:v>
                </c:pt>
                <c:pt idx="103">
                  <c:v>120.8977</c:v>
                </c:pt>
                <c:pt idx="104">
                  <c:v>129.15899999999999</c:v>
                </c:pt>
                <c:pt idx="105">
                  <c:v>137.1397</c:v>
                </c:pt>
                <c:pt idx="106">
                  <c:v>145.2218</c:v>
                </c:pt>
                <c:pt idx="107">
                  <c:v>140.09559999999999</c:v>
                </c:pt>
                <c:pt idx="108">
                  <c:v>124.12</c:v>
                </c:pt>
                <c:pt idx="109">
                  <c:v>135.6875</c:v>
                </c:pt>
                <c:pt idx="110">
                  <c:v>127.756</c:v>
                </c:pt>
                <c:pt idx="111">
                  <c:v>144.04750000000001</c:v>
                </c:pt>
                <c:pt idx="112">
                  <c:v>131.9333</c:v>
                </c:pt>
                <c:pt idx="113">
                  <c:v>135.52629999999999</c:v>
                </c:pt>
                <c:pt idx="114">
                  <c:v>151.3579</c:v>
                </c:pt>
                <c:pt idx="115">
                  <c:v>124.7073</c:v>
                </c:pt>
                <c:pt idx="116">
                  <c:v>135.274</c:v>
                </c:pt>
                <c:pt idx="117">
                  <c:v>136.53880000000001</c:v>
                </c:pt>
                <c:pt idx="118">
                  <c:v>137.87780000000001</c:v>
                </c:pt>
                <c:pt idx="119">
                  <c:v>114.20659999999999</c:v>
                </c:pt>
                <c:pt idx="120">
                  <c:v>141.58439999999999</c:v>
                </c:pt>
                <c:pt idx="121">
                  <c:v>111.09690000000001</c:v>
                </c:pt>
                <c:pt idx="122">
                  <c:v>126.38679999999999</c:v>
                </c:pt>
                <c:pt idx="123">
                  <c:v>132.88849999999999</c:v>
                </c:pt>
                <c:pt idx="124">
                  <c:v>144.79040000000001</c:v>
                </c:pt>
                <c:pt idx="125">
                  <c:v>108.38590000000001</c:v>
                </c:pt>
                <c:pt idx="126">
                  <c:v>124.1348</c:v>
                </c:pt>
                <c:pt idx="127">
                  <c:v>129.4462</c:v>
                </c:pt>
                <c:pt idx="128">
                  <c:v>131.3339</c:v>
                </c:pt>
                <c:pt idx="129">
                  <c:v>111.64109999999999</c:v>
                </c:pt>
                <c:pt idx="130">
                  <c:v>111.6422</c:v>
                </c:pt>
                <c:pt idx="131">
                  <c:v>140.31780000000001</c:v>
                </c:pt>
                <c:pt idx="132">
                  <c:v>125.5286</c:v>
                </c:pt>
                <c:pt idx="133">
                  <c:v>114.49</c:v>
                </c:pt>
                <c:pt idx="134">
                  <c:v>113.998</c:v>
                </c:pt>
                <c:pt idx="135">
                  <c:v>117.1931</c:v>
                </c:pt>
                <c:pt idx="136">
                  <c:v>138.31559999999999</c:v>
                </c:pt>
                <c:pt idx="137">
                  <c:v>122.3712</c:v>
                </c:pt>
                <c:pt idx="138">
                  <c:v>132.94309999999999</c:v>
                </c:pt>
                <c:pt idx="139">
                  <c:v>124.0449</c:v>
                </c:pt>
                <c:pt idx="140">
                  <c:v>144.1591</c:v>
                </c:pt>
                <c:pt idx="141">
                  <c:v>115.4581</c:v>
                </c:pt>
                <c:pt idx="142">
                  <c:v>116.5192</c:v>
                </c:pt>
                <c:pt idx="143">
                  <c:v>139.6139</c:v>
                </c:pt>
                <c:pt idx="144">
                  <c:v>133.2364</c:v>
                </c:pt>
                <c:pt idx="145">
                  <c:v>120.02500000000001</c:v>
                </c:pt>
                <c:pt idx="146">
                  <c:v>123.11109999999999</c:v>
                </c:pt>
                <c:pt idx="147">
                  <c:v>132.84620000000001</c:v>
                </c:pt>
                <c:pt idx="148">
                  <c:v>120.9359</c:v>
                </c:pt>
                <c:pt idx="149">
                  <c:v>129.77019999999999</c:v>
                </c:pt>
                <c:pt idx="150">
                  <c:v>136.9118</c:v>
                </c:pt>
                <c:pt idx="151">
                  <c:v>131.12100000000001</c:v>
                </c:pt>
                <c:pt idx="152">
                  <c:v>133.48400000000001</c:v>
                </c:pt>
                <c:pt idx="153">
                  <c:v>136.3871</c:v>
                </c:pt>
                <c:pt idx="154">
                  <c:v>131.45590000000001</c:v>
                </c:pt>
                <c:pt idx="155">
                  <c:v>126.1986</c:v>
                </c:pt>
                <c:pt idx="156">
                  <c:v>115.04600000000001</c:v>
                </c:pt>
                <c:pt idx="157">
                  <c:v>130.31780000000001</c:v>
                </c:pt>
                <c:pt idx="158">
                  <c:v>131.69540000000001</c:v>
                </c:pt>
                <c:pt idx="159">
                  <c:v>135.65190000000001</c:v>
                </c:pt>
                <c:pt idx="160">
                  <c:v>120.30289999999999</c:v>
                </c:pt>
                <c:pt idx="161">
                  <c:v>129.14420000000001</c:v>
                </c:pt>
                <c:pt idx="162">
                  <c:v>150.2167</c:v>
                </c:pt>
                <c:pt idx="163">
                  <c:v>120.2076</c:v>
                </c:pt>
                <c:pt idx="164">
                  <c:v>132.15299999999999</c:v>
                </c:pt>
                <c:pt idx="165">
                  <c:v>132.12469999999999</c:v>
                </c:pt>
                <c:pt idx="166">
                  <c:v>119.5029</c:v>
                </c:pt>
                <c:pt idx="167">
                  <c:v>136.7629</c:v>
                </c:pt>
                <c:pt idx="168">
                  <c:v>147.78460000000001</c:v>
                </c:pt>
                <c:pt idx="169">
                  <c:v>145.5992</c:v>
                </c:pt>
                <c:pt idx="170">
                  <c:v>124.9662</c:v>
                </c:pt>
                <c:pt idx="171">
                  <c:v>127.902</c:v>
                </c:pt>
                <c:pt idx="172">
                  <c:v>125.9147</c:v>
                </c:pt>
                <c:pt idx="173">
                  <c:v>109.68210000000001</c:v>
                </c:pt>
                <c:pt idx="174">
                  <c:v>107.77330000000001</c:v>
                </c:pt>
                <c:pt idx="175">
                  <c:v>134.10990000000001</c:v>
                </c:pt>
                <c:pt idx="176">
                  <c:v>134.90100000000001</c:v>
                </c:pt>
                <c:pt idx="177">
                  <c:v>139.63640000000001</c:v>
                </c:pt>
                <c:pt idx="178">
                  <c:v>127.0273</c:v>
                </c:pt>
                <c:pt idx="179">
                  <c:v>134.77170000000001</c:v>
                </c:pt>
                <c:pt idx="180">
                  <c:v>99.971239999999995</c:v>
                </c:pt>
                <c:pt idx="181">
                  <c:v>129.4522</c:v>
                </c:pt>
                <c:pt idx="182">
                  <c:v>129.35919999999999</c:v>
                </c:pt>
                <c:pt idx="183">
                  <c:v>103.65940000000001</c:v>
                </c:pt>
                <c:pt idx="184">
                  <c:v>115.73269999999999</c:v>
                </c:pt>
                <c:pt idx="185">
                  <c:v>104.8874</c:v>
                </c:pt>
                <c:pt idx="186">
                  <c:v>131.00540000000001</c:v>
                </c:pt>
                <c:pt idx="187">
                  <c:v>129.07089999999999</c:v>
                </c:pt>
                <c:pt idx="188">
                  <c:v>102.54940000000001</c:v>
                </c:pt>
                <c:pt idx="189">
                  <c:v>133.22569999999999</c:v>
                </c:pt>
                <c:pt idx="190">
                  <c:v>146.30080000000001</c:v>
                </c:pt>
                <c:pt idx="191">
                  <c:v>140.8125</c:v>
                </c:pt>
                <c:pt idx="192">
                  <c:v>132.46180000000001</c:v>
                </c:pt>
                <c:pt idx="193">
                  <c:v>118.8437</c:v>
                </c:pt>
                <c:pt idx="194">
                  <c:v>133.4495</c:v>
                </c:pt>
                <c:pt idx="195">
                  <c:v>134.88200000000001</c:v>
                </c:pt>
                <c:pt idx="196">
                  <c:v>129.6789</c:v>
                </c:pt>
                <c:pt idx="197">
                  <c:v>136.73179999999999</c:v>
                </c:pt>
                <c:pt idx="198">
                  <c:v>133.99809999999999</c:v>
                </c:pt>
                <c:pt idx="199">
                  <c:v>128.13239999999999</c:v>
                </c:pt>
              </c:numCache>
            </c:numRef>
          </c:yVal>
          <c:smooth val="0"/>
          <c:extLst>
            <c:ext xmlns:c16="http://schemas.microsoft.com/office/drawing/2014/chart" uri="{C3380CC4-5D6E-409C-BE32-E72D297353CC}">
              <c16:uniqueId val="{00000000-252D-48B0-8E6A-AD4168103FD1}"/>
            </c:ext>
          </c:extLst>
        </c:ser>
        <c:dLbls>
          <c:showLegendKey val="0"/>
          <c:showVal val="0"/>
          <c:showCatName val="0"/>
          <c:showSerName val="0"/>
          <c:showPercent val="0"/>
          <c:showBubbleSize val="0"/>
        </c:dLbls>
        <c:axId val="1532870655"/>
        <c:axId val="1532861503"/>
      </c:scatterChart>
      <c:valAx>
        <c:axId val="1532870655"/>
        <c:scaling>
          <c:orientation val="minMax"/>
          <c:max val="74.5"/>
          <c:min val="6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61503"/>
        <c:crosses val="autoZero"/>
        <c:crossBetween val="midCat"/>
      </c:valAx>
      <c:valAx>
        <c:axId val="1532861503"/>
        <c:scaling>
          <c:orientation val="minMax"/>
          <c:max val="162"/>
          <c:min val="9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70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Корреляционное</a:t>
            </a:r>
            <a:r>
              <a:rPr lang="ru-RU" baseline="0"/>
              <a:t> облако</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249706050153643E-2"/>
          <c:y val="9.6071346552577236E-2"/>
          <c:w val="0.92374466526424637"/>
          <c:h val="0.75577242265738853"/>
        </c:manualLayout>
      </c:layout>
      <c:scatterChart>
        <c:scatterStyle val="lineMarker"/>
        <c:varyColors val="0"/>
        <c:ser>
          <c:idx val="0"/>
          <c:order val="0"/>
          <c:tx>
            <c:v>Корреляционное облако</c:v>
          </c:tx>
          <c:spPr>
            <a:ln w="25400" cap="rnd">
              <a:noFill/>
              <a:round/>
            </a:ln>
            <a:effectLst/>
          </c:spPr>
          <c:marker>
            <c:symbol val="circle"/>
            <c:size val="5"/>
            <c:spPr>
              <a:solidFill>
                <a:schemeClr val="accent1"/>
              </a:solidFill>
              <a:ln w="9525">
                <a:solidFill>
                  <a:schemeClr val="accent1"/>
                </a:solidFill>
              </a:ln>
              <a:effectLst/>
            </c:spPr>
          </c:marker>
          <c:trendline>
            <c:name>Линия регрессии</c:name>
            <c:spPr>
              <a:ln w="19050" cap="rnd">
                <a:solidFill>
                  <a:schemeClr val="tx1"/>
                </a:solidFill>
                <a:prstDash val="sysDot"/>
              </a:ln>
              <a:effectLst/>
            </c:spPr>
            <c:trendlineType val="linear"/>
            <c:dispRSqr val="0"/>
            <c:dispEq val="1"/>
            <c:trendlineLbl>
              <c:layout>
                <c:manualLayout>
                  <c:x val="-2.4037842365721984E-2"/>
                  <c:y val="-2.09488714947973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Sheet1!$A$2:$A$201</c:f>
              <c:numCache>
                <c:formatCode>General</c:formatCode>
                <c:ptCount val="200"/>
                <c:pt idx="0">
                  <c:v>70.051460000000006</c:v>
                </c:pt>
                <c:pt idx="1">
                  <c:v>67.304969999999997</c:v>
                </c:pt>
                <c:pt idx="2">
                  <c:v>66.398129999999995</c:v>
                </c:pt>
                <c:pt idx="3">
                  <c:v>69.736369999999994</c:v>
                </c:pt>
                <c:pt idx="4">
                  <c:v>68.716589999999997</c:v>
                </c:pt>
                <c:pt idx="5">
                  <c:v>63.884369999999997</c:v>
                </c:pt>
                <c:pt idx="6">
                  <c:v>68.408510000000007</c:v>
                </c:pt>
                <c:pt idx="7">
                  <c:v>67.932509999999994</c:v>
                </c:pt>
                <c:pt idx="8">
                  <c:v>70.696740000000005</c:v>
                </c:pt>
                <c:pt idx="9">
                  <c:v>68.950829999999996</c:v>
                </c:pt>
                <c:pt idx="10">
                  <c:v>66.494569999999996</c:v>
                </c:pt>
                <c:pt idx="11">
                  <c:v>68.593689999999995</c:v>
                </c:pt>
                <c:pt idx="12">
                  <c:v>66.264420000000001</c:v>
                </c:pt>
                <c:pt idx="13">
                  <c:v>69.586560000000006</c:v>
                </c:pt>
                <c:pt idx="14">
                  <c:v>67.35651</c:v>
                </c:pt>
                <c:pt idx="15">
                  <c:v>69.687269999999998</c:v>
                </c:pt>
                <c:pt idx="16">
                  <c:v>68.440460000000002</c:v>
                </c:pt>
                <c:pt idx="17">
                  <c:v>68.479730000000004</c:v>
                </c:pt>
                <c:pt idx="18">
                  <c:v>65.454629999999995</c:v>
                </c:pt>
                <c:pt idx="19">
                  <c:v>66.808499999999995</c:v>
                </c:pt>
                <c:pt idx="20">
                  <c:v>70.052120000000002</c:v>
                </c:pt>
                <c:pt idx="21">
                  <c:v>67.435580000000002</c:v>
                </c:pt>
                <c:pt idx="22">
                  <c:v>66.543059999999997</c:v>
                </c:pt>
                <c:pt idx="23">
                  <c:v>67.323530000000005</c:v>
                </c:pt>
                <c:pt idx="24">
                  <c:v>67.972499999999997</c:v>
                </c:pt>
                <c:pt idx="25">
                  <c:v>69.038579999999996</c:v>
                </c:pt>
                <c:pt idx="26">
                  <c:v>67.69453</c:v>
                </c:pt>
                <c:pt idx="27">
                  <c:v>69.305080000000004</c:v>
                </c:pt>
                <c:pt idx="28">
                  <c:v>65.396429999999995</c:v>
                </c:pt>
                <c:pt idx="29">
                  <c:v>68.356380000000001</c:v>
                </c:pt>
                <c:pt idx="30">
                  <c:v>65.368880000000004</c:v>
                </c:pt>
                <c:pt idx="31">
                  <c:v>68.364990000000006</c:v>
                </c:pt>
                <c:pt idx="32">
                  <c:v>71.157020000000003</c:v>
                </c:pt>
                <c:pt idx="33">
                  <c:v>69.255319999999998</c:v>
                </c:pt>
                <c:pt idx="34">
                  <c:v>66.698400000000007</c:v>
                </c:pt>
                <c:pt idx="35">
                  <c:v>69.175479999999993</c:v>
                </c:pt>
                <c:pt idx="36">
                  <c:v>68.31559</c:v>
                </c:pt>
                <c:pt idx="37">
                  <c:v>67.816159999999996</c:v>
                </c:pt>
                <c:pt idx="38">
                  <c:v>68.561229999999995</c:v>
                </c:pt>
                <c:pt idx="39">
                  <c:v>66.230850000000004</c:v>
                </c:pt>
                <c:pt idx="40">
                  <c:v>68.950990000000004</c:v>
                </c:pt>
                <c:pt idx="41">
                  <c:v>67.867609999999999</c:v>
                </c:pt>
                <c:pt idx="42">
                  <c:v>68.05498</c:v>
                </c:pt>
                <c:pt idx="43">
                  <c:v>67.739859999999993</c:v>
                </c:pt>
                <c:pt idx="44">
                  <c:v>69.836410000000001</c:v>
                </c:pt>
                <c:pt idx="45">
                  <c:v>70.685739999999996</c:v>
                </c:pt>
                <c:pt idx="46">
                  <c:v>64.543850000000006</c:v>
                </c:pt>
                <c:pt idx="47">
                  <c:v>67.931120000000007</c:v>
                </c:pt>
                <c:pt idx="48">
                  <c:v>67.772909999999996</c:v>
                </c:pt>
                <c:pt idx="49">
                  <c:v>69.413120000000006</c:v>
                </c:pt>
                <c:pt idx="50">
                  <c:v>67.772130000000004</c:v>
                </c:pt>
                <c:pt idx="51">
                  <c:v>67.79965</c:v>
                </c:pt>
                <c:pt idx="52">
                  <c:v>67.983130000000003</c:v>
                </c:pt>
                <c:pt idx="53">
                  <c:v>69.979830000000007</c:v>
                </c:pt>
                <c:pt idx="54">
                  <c:v>63.832610000000003</c:v>
                </c:pt>
                <c:pt idx="55">
                  <c:v>65.572119999999998</c:v>
                </c:pt>
                <c:pt idx="56">
                  <c:v>69.343069999999997</c:v>
                </c:pt>
                <c:pt idx="57">
                  <c:v>67.28398</c:v>
                </c:pt>
                <c:pt idx="58">
                  <c:v>68.743499999999997</c:v>
                </c:pt>
                <c:pt idx="59">
                  <c:v>69.031120000000001</c:v>
                </c:pt>
                <c:pt idx="60">
                  <c:v>69.644260000000003</c:v>
                </c:pt>
                <c:pt idx="61">
                  <c:v>66.700519999999997</c:v>
                </c:pt>
                <c:pt idx="62">
                  <c:v>67.914299999999997</c:v>
                </c:pt>
                <c:pt idx="63">
                  <c:v>64.368489999999994</c:v>
                </c:pt>
                <c:pt idx="64">
                  <c:v>65.875069999999994</c:v>
                </c:pt>
                <c:pt idx="65">
                  <c:v>67.074269999999999</c:v>
                </c:pt>
                <c:pt idx="66">
                  <c:v>69.34545</c:v>
                </c:pt>
                <c:pt idx="67">
                  <c:v>69.832120000000003</c:v>
                </c:pt>
                <c:pt idx="68">
                  <c:v>66.102450000000005</c:v>
                </c:pt>
                <c:pt idx="69">
                  <c:v>69.262050000000002</c:v>
                </c:pt>
                <c:pt idx="70">
                  <c:v>68.335250000000002</c:v>
                </c:pt>
                <c:pt idx="71">
                  <c:v>69.380170000000007</c:v>
                </c:pt>
                <c:pt idx="72">
                  <c:v>69.128870000000006</c:v>
                </c:pt>
                <c:pt idx="73">
                  <c:v>68.446579999999997</c:v>
                </c:pt>
                <c:pt idx="74">
                  <c:v>66.345420000000004</c:v>
                </c:pt>
                <c:pt idx="75">
                  <c:v>70.032749999999993</c:v>
                </c:pt>
                <c:pt idx="76">
                  <c:v>70.165229999999994</c:v>
                </c:pt>
                <c:pt idx="77">
                  <c:v>68.183239999999998</c:v>
                </c:pt>
                <c:pt idx="78">
                  <c:v>70.123779999999996</c:v>
                </c:pt>
                <c:pt idx="79">
                  <c:v>68.429599999999994</c:v>
                </c:pt>
                <c:pt idx="80">
                  <c:v>66.43974</c:v>
                </c:pt>
                <c:pt idx="81">
                  <c:v>71.727029999999999</c:v>
                </c:pt>
                <c:pt idx="82">
                  <c:v>70.723870000000005</c:v>
                </c:pt>
                <c:pt idx="83">
                  <c:v>68.090220000000002</c:v>
                </c:pt>
                <c:pt idx="84">
                  <c:v>70.129760000000005</c:v>
                </c:pt>
                <c:pt idx="85">
                  <c:v>66.053929999999994</c:v>
                </c:pt>
                <c:pt idx="86">
                  <c:v>69.770589999999999</c:v>
                </c:pt>
                <c:pt idx="87">
                  <c:v>68.158159999999995</c:v>
                </c:pt>
                <c:pt idx="88">
                  <c:v>69.913719999999998</c:v>
                </c:pt>
                <c:pt idx="89">
                  <c:v>65.344610000000003</c:v>
                </c:pt>
                <c:pt idx="90">
                  <c:v>68.356210000000004</c:v>
                </c:pt>
                <c:pt idx="91">
                  <c:v>64.505849999999995</c:v>
                </c:pt>
                <c:pt idx="92">
                  <c:v>67.954909999999998</c:v>
                </c:pt>
                <c:pt idx="93">
                  <c:v>68.576210000000003</c:v>
                </c:pt>
                <c:pt idx="94">
                  <c:v>68.122569999999996</c:v>
                </c:pt>
                <c:pt idx="95">
                  <c:v>68.775829999999999</c:v>
                </c:pt>
                <c:pt idx="96">
                  <c:v>67.925929999999994</c:v>
                </c:pt>
                <c:pt idx="97">
                  <c:v>69.148399999999995</c:v>
                </c:pt>
                <c:pt idx="98">
                  <c:v>63.205390000000001</c:v>
                </c:pt>
                <c:pt idx="99">
                  <c:v>69.244200000000006</c:v>
                </c:pt>
                <c:pt idx="100">
                  <c:v>65.886449999999996</c:v>
                </c:pt>
                <c:pt idx="101">
                  <c:v>67.851860000000002</c:v>
                </c:pt>
                <c:pt idx="102">
                  <c:v>65.574179999999998</c:v>
                </c:pt>
                <c:pt idx="103">
                  <c:v>66.708190000000002</c:v>
                </c:pt>
                <c:pt idx="104">
                  <c:v>69.171999999999997</c:v>
                </c:pt>
                <c:pt idx="105">
                  <c:v>69.235929999999996</c:v>
                </c:pt>
                <c:pt idx="106">
                  <c:v>67.572320000000005</c:v>
                </c:pt>
                <c:pt idx="107">
                  <c:v>69.505179999999996</c:v>
                </c:pt>
                <c:pt idx="108">
                  <c:v>70.602879999999999</c:v>
                </c:pt>
                <c:pt idx="109">
                  <c:v>66.541520000000006</c:v>
                </c:pt>
                <c:pt idx="110">
                  <c:v>69.114940000000004</c:v>
                </c:pt>
                <c:pt idx="111">
                  <c:v>69.950999999999993</c:v>
                </c:pt>
                <c:pt idx="112">
                  <c:v>67.703469999999996</c:v>
                </c:pt>
                <c:pt idx="113">
                  <c:v>69.190280000000001</c:v>
                </c:pt>
                <c:pt idx="114">
                  <c:v>67.804699999999997</c:v>
                </c:pt>
                <c:pt idx="115">
                  <c:v>67.625320000000002</c:v>
                </c:pt>
                <c:pt idx="116">
                  <c:v>70.368979999999993</c:v>
                </c:pt>
                <c:pt idx="117">
                  <c:v>71.025949999999995</c:v>
                </c:pt>
                <c:pt idx="118">
                  <c:v>69.845200000000006</c:v>
                </c:pt>
                <c:pt idx="119">
                  <c:v>67.086380000000005</c:v>
                </c:pt>
                <c:pt idx="120">
                  <c:v>68.620130000000003</c:v>
                </c:pt>
                <c:pt idx="121">
                  <c:v>64.372749999999996</c:v>
                </c:pt>
                <c:pt idx="122">
                  <c:v>65.935230000000004</c:v>
                </c:pt>
                <c:pt idx="123">
                  <c:v>65.242850000000004</c:v>
                </c:pt>
                <c:pt idx="124">
                  <c:v>70.514809999999997</c:v>
                </c:pt>
                <c:pt idx="125">
                  <c:v>66.611289999999997</c:v>
                </c:pt>
                <c:pt idx="126">
                  <c:v>67.133939999999996</c:v>
                </c:pt>
                <c:pt idx="127">
                  <c:v>66.776340000000005</c:v>
                </c:pt>
                <c:pt idx="128">
                  <c:v>67.693849999999998</c:v>
                </c:pt>
                <c:pt idx="129">
                  <c:v>67.828090000000003</c:v>
                </c:pt>
                <c:pt idx="130">
                  <c:v>66.632540000000006</c:v>
                </c:pt>
                <c:pt idx="131">
                  <c:v>67.622290000000007</c:v>
                </c:pt>
                <c:pt idx="132">
                  <c:v>69.66798</c:v>
                </c:pt>
                <c:pt idx="133">
                  <c:v>62.750390000000003</c:v>
                </c:pt>
                <c:pt idx="134">
                  <c:v>64.538780000000003</c:v>
                </c:pt>
                <c:pt idx="135">
                  <c:v>68.019289999999998</c:v>
                </c:pt>
                <c:pt idx="136">
                  <c:v>66.385509999999996</c:v>
                </c:pt>
                <c:pt idx="137">
                  <c:v>70.187240000000003</c:v>
                </c:pt>
                <c:pt idx="138">
                  <c:v>64.646000000000001</c:v>
                </c:pt>
                <c:pt idx="139">
                  <c:v>67.488190000000003</c:v>
                </c:pt>
                <c:pt idx="140">
                  <c:v>72.018069999999994</c:v>
                </c:pt>
                <c:pt idx="141">
                  <c:v>66.613560000000007</c:v>
                </c:pt>
                <c:pt idx="142">
                  <c:v>65.818029999999993</c:v>
                </c:pt>
                <c:pt idx="143">
                  <c:v>71.161850000000001</c:v>
                </c:pt>
                <c:pt idx="144">
                  <c:v>68.519769999999994</c:v>
                </c:pt>
                <c:pt idx="145">
                  <c:v>64.960880000000003</c:v>
                </c:pt>
                <c:pt idx="146">
                  <c:v>66.882679999999993</c:v>
                </c:pt>
                <c:pt idx="147">
                  <c:v>70.353099999999998</c:v>
                </c:pt>
                <c:pt idx="148">
                  <c:v>67.717439999999996</c:v>
                </c:pt>
                <c:pt idx="149">
                  <c:v>66.033330000000007</c:v>
                </c:pt>
                <c:pt idx="150">
                  <c:v>68.982600000000005</c:v>
                </c:pt>
                <c:pt idx="151">
                  <c:v>68.602369999999993</c:v>
                </c:pt>
                <c:pt idx="152">
                  <c:v>66.840800000000002</c:v>
                </c:pt>
                <c:pt idx="153">
                  <c:v>68.036590000000004</c:v>
                </c:pt>
                <c:pt idx="154">
                  <c:v>64.795860000000005</c:v>
                </c:pt>
                <c:pt idx="155">
                  <c:v>70.551259999999999</c:v>
                </c:pt>
                <c:pt idx="156">
                  <c:v>68.281660000000002</c:v>
                </c:pt>
                <c:pt idx="157">
                  <c:v>68.775739999999999</c:v>
                </c:pt>
                <c:pt idx="158">
                  <c:v>67.093149999999994</c:v>
                </c:pt>
                <c:pt idx="159">
                  <c:v>70.143029999999996</c:v>
                </c:pt>
                <c:pt idx="160">
                  <c:v>65.468329999999995</c:v>
                </c:pt>
                <c:pt idx="161">
                  <c:v>69.022750000000002</c:v>
                </c:pt>
                <c:pt idx="162">
                  <c:v>74.248990000000006</c:v>
                </c:pt>
                <c:pt idx="163">
                  <c:v>64.085750000000004</c:v>
                </c:pt>
                <c:pt idx="164">
                  <c:v>67.579769999999996</c:v>
                </c:pt>
                <c:pt idx="165">
                  <c:v>69.193950000000001</c:v>
                </c:pt>
                <c:pt idx="166">
                  <c:v>64.486149999999995</c:v>
                </c:pt>
                <c:pt idx="167">
                  <c:v>68.758880000000005</c:v>
                </c:pt>
                <c:pt idx="168">
                  <c:v>68.451840000000004</c:v>
                </c:pt>
                <c:pt idx="169">
                  <c:v>66.442049999999995</c:v>
                </c:pt>
                <c:pt idx="170">
                  <c:v>70.175600000000003</c:v>
                </c:pt>
                <c:pt idx="171">
                  <c:v>67.138599999999997</c:v>
                </c:pt>
                <c:pt idx="172">
                  <c:v>66.915480000000002</c:v>
                </c:pt>
                <c:pt idx="173">
                  <c:v>68.633570000000006</c:v>
                </c:pt>
                <c:pt idx="174">
                  <c:v>66.956969999999998</c:v>
                </c:pt>
                <c:pt idx="175">
                  <c:v>69.973510000000005</c:v>
                </c:pt>
                <c:pt idx="176">
                  <c:v>66.92568</c:v>
                </c:pt>
                <c:pt idx="177">
                  <c:v>68.763469999999998</c:v>
                </c:pt>
                <c:pt idx="178">
                  <c:v>67.40692</c:v>
                </c:pt>
                <c:pt idx="179">
                  <c:v>65.74615</c:v>
                </c:pt>
                <c:pt idx="180">
                  <c:v>65.883570000000006</c:v>
                </c:pt>
                <c:pt idx="181">
                  <c:v>66.776229999999998</c:v>
                </c:pt>
                <c:pt idx="182">
                  <c:v>66.962199999999996</c:v>
                </c:pt>
                <c:pt idx="183">
                  <c:v>63.466419999999999</c:v>
                </c:pt>
                <c:pt idx="184">
                  <c:v>68.352239999999995</c:v>
                </c:pt>
                <c:pt idx="185">
                  <c:v>64.431470000000004</c:v>
                </c:pt>
                <c:pt idx="186">
                  <c:v>63.521749999999997</c:v>
                </c:pt>
                <c:pt idx="187">
                  <c:v>66.861959999999996</c:v>
                </c:pt>
                <c:pt idx="188">
                  <c:v>65.536510000000007</c:v>
                </c:pt>
                <c:pt idx="189">
                  <c:v>71.823059999999998</c:v>
                </c:pt>
                <c:pt idx="190">
                  <c:v>68.865380000000002</c:v>
                </c:pt>
                <c:pt idx="191">
                  <c:v>70.792069999999995</c:v>
                </c:pt>
                <c:pt idx="192">
                  <c:v>69.021389999999997</c:v>
                </c:pt>
                <c:pt idx="193">
                  <c:v>67.352699999999999</c:v>
                </c:pt>
                <c:pt idx="194">
                  <c:v>66.329400000000007</c:v>
                </c:pt>
                <c:pt idx="195">
                  <c:v>67.757919999999999</c:v>
                </c:pt>
                <c:pt idx="196">
                  <c:v>68.647959999999998</c:v>
                </c:pt>
                <c:pt idx="197">
                  <c:v>68.187839999999994</c:v>
                </c:pt>
                <c:pt idx="198">
                  <c:v>71.539779999999993</c:v>
                </c:pt>
                <c:pt idx="199">
                  <c:v>68.589590000000001</c:v>
                </c:pt>
              </c:numCache>
            </c:numRef>
          </c:xVal>
          <c:yVal>
            <c:numRef>
              <c:f>Sheet1!$B$2:$B$201</c:f>
              <c:numCache>
                <c:formatCode>General</c:formatCode>
                <c:ptCount val="200"/>
                <c:pt idx="0">
                  <c:v>134.66550000000001</c:v>
                </c:pt>
                <c:pt idx="1">
                  <c:v>122.0232</c:v>
                </c:pt>
                <c:pt idx="2">
                  <c:v>128.3502</c:v>
                </c:pt>
                <c:pt idx="3">
                  <c:v>130.6354</c:v>
                </c:pt>
                <c:pt idx="4">
                  <c:v>131.71700000000001</c:v>
                </c:pt>
                <c:pt idx="5">
                  <c:v>108.61320000000001</c:v>
                </c:pt>
                <c:pt idx="6">
                  <c:v>114.5673</c:v>
                </c:pt>
                <c:pt idx="7">
                  <c:v>133.5136</c:v>
                </c:pt>
                <c:pt idx="8">
                  <c:v>135.86410000000001</c:v>
                </c:pt>
                <c:pt idx="9">
                  <c:v>148.10929999999999</c:v>
                </c:pt>
                <c:pt idx="10">
                  <c:v>123.5179</c:v>
                </c:pt>
                <c:pt idx="11">
                  <c:v>120.84059999999999</c:v>
                </c:pt>
                <c:pt idx="12">
                  <c:v>116.2666</c:v>
                </c:pt>
                <c:pt idx="13">
                  <c:v>123.8986</c:v>
                </c:pt>
                <c:pt idx="14">
                  <c:v>119.32</c:v>
                </c:pt>
                <c:pt idx="15">
                  <c:v>119.4097</c:v>
                </c:pt>
                <c:pt idx="16">
                  <c:v>124.5933</c:v>
                </c:pt>
                <c:pt idx="17">
                  <c:v>130.8802</c:v>
                </c:pt>
                <c:pt idx="18">
                  <c:v>118.2058</c:v>
                </c:pt>
                <c:pt idx="19">
                  <c:v>109.6357</c:v>
                </c:pt>
                <c:pt idx="20">
                  <c:v>140.22980000000001</c:v>
                </c:pt>
                <c:pt idx="21">
                  <c:v>121.57640000000001</c:v>
                </c:pt>
                <c:pt idx="22">
                  <c:v>98.302620000000005</c:v>
                </c:pt>
                <c:pt idx="23">
                  <c:v>117.6173</c:v>
                </c:pt>
                <c:pt idx="24">
                  <c:v>136.5104</c:v>
                </c:pt>
                <c:pt idx="25">
                  <c:v>148.97909999999999</c:v>
                </c:pt>
                <c:pt idx="26">
                  <c:v>123.9665</c:v>
                </c:pt>
                <c:pt idx="27">
                  <c:v>133.59569999999999</c:v>
                </c:pt>
                <c:pt idx="28">
                  <c:v>117.2334</c:v>
                </c:pt>
                <c:pt idx="29">
                  <c:v>123.5943</c:v>
                </c:pt>
                <c:pt idx="30">
                  <c:v>117.76739999999999</c:v>
                </c:pt>
                <c:pt idx="31">
                  <c:v>137.2321</c:v>
                </c:pt>
                <c:pt idx="32">
                  <c:v>129.1996</c:v>
                </c:pt>
                <c:pt idx="33">
                  <c:v>142.4032</c:v>
                </c:pt>
                <c:pt idx="34">
                  <c:v>128.4838</c:v>
                </c:pt>
                <c:pt idx="35">
                  <c:v>115.3008</c:v>
                </c:pt>
                <c:pt idx="36">
                  <c:v>119.5309</c:v>
                </c:pt>
                <c:pt idx="37">
                  <c:v>121.72239999999999</c:v>
                </c:pt>
                <c:pt idx="38">
                  <c:v>142.8442</c:v>
                </c:pt>
                <c:pt idx="39">
                  <c:v>110.11709999999999</c:v>
                </c:pt>
                <c:pt idx="40">
                  <c:v>122.0958</c:v>
                </c:pt>
                <c:pt idx="41">
                  <c:v>124.8188</c:v>
                </c:pt>
                <c:pt idx="42">
                  <c:v>119.3169</c:v>
                </c:pt>
                <c:pt idx="43">
                  <c:v>132.4571</c:v>
                </c:pt>
                <c:pt idx="44">
                  <c:v>133.0316</c:v>
                </c:pt>
                <c:pt idx="45">
                  <c:v>160.88310000000001</c:v>
                </c:pt>
                <c:pt idx="46">
                  <c:v>119.127</c:v>
                </c:pt>
                <c:pt idx="47">
                  <c:v>138.51599999999999</c:v>
                </c:pt>
                <c:pt idx="48">
                  <c:v>124.8232</c:v>
                </c:pt>
                <c:pt idx="49">
                  <c:v>135.9744</c:v>
                </c:pt>
                <c:pt idx="50">
                  <c:v>116.22539999999999</c:v>
                </c:pt>
                <c:pt idx="51">
                  <c:v>139.2002</c:v>
                </c:pt>
                <c:pt idx="52">
                  <c:v>137.983</c:v>
                </c:pt>
                <c:pt idx="53">
                  <c:v>144.50839999999999</c:v>
                </c:pt>
                <c:pt idx="54">
                  <c:v>109.1938</c:v>
                </c:pt>
                <c:pt idx="55">
                  <c:v>127.22799999999999</c:v>
                </c:pt>
                <c:pt idx="56">
                  <c:v>124.5517</c:v>
                </c:pt>
                <c:pt idx="57">
                  <c:v>114.926</c:v>
                </c:pt>
                <c:pt idx="58">
                  <c:v>132.5027</c:v>
                </c:pt>
                <c:pt idx="59">
                  <c:v>125.3892</c:v>
                </c:pt>
                <c:pt idx="60">
                  <c:v>128.49879999999999</c:v>
                </c:pt>
                <c:pt idx="61">
                  <c:v>117.7319</c:v>
                </c:pt>
                <c:pt idx="62">
                  <c:v>112.95310000000001</c:v>
                </c:pt>
                <c:pt idx="63">
                  <c:v>126.1835</c:v>
                </c:pt>
                <c:pt idx="64">
                  <c:v>118.79340000000001</c:v>
                </c:pt>
                <c:pt idx="65">
                  <c:v>125.4388</c:v>
                </c:pt>
                <c:pt idx="66">
                  <c:v>124.9451</c:v>
                </c:pt>
                <c:pt idx="67">
                  <c:v>145.51390000000001</c:v>
                </c:pt>
                <c:pt idx="68">
                  <c:v>116.78360000000001</c:v>
                </c:pt>
                <c:pt idx="69">
                  <c:v>132.52160000000001</c:v>
                </c:pt>
                <c:pt idx="70">
                  <c:v>114.8933</c:v>
                </c:pt>
                <c:pt idx="71">
                  <c:v>122.85939999999999</c:v>
                </c:pt>
                <c:pt idx="72">
                  <c:v>130.57820000000001</c:v>
                </c:pt>
                <c:pt idx="73">
                  <c:v>119.1058</c:v>
                </c:pt>
                <c:pt idx="74">
                  <c:v>133.82040000000001</c:v>
                </c:pt>
                <c:pt idx="75">
                  <c:v>128.5779</c:v>
                </c:pt>
                <c:pt idx="76">
                  <c:v>139.0179</c:v>
                </c:pt>
                <c:pt idx="77">
                  <c:v>101.2876</c:v>
                </c:pt>
                <c:pt idx="78">
                  <c:v>140.958</c:v>
                </c:pt>
                <c:pt idx="79">
                  <c:v>134.6146</c:v>
                </c:pt>
                <c:pt idx="80">
                  <c:v>129.94820000000001</c:v>
                </c:pt>
                <c:pt idx="81">
                  <c:v>139.06399999999999</c:v>
                </c:pt>
                <c:pt idx="82">
                  <c:v>135.1996</c:v>
                </c:pt>
                <c:pt idx="83">
                  <c:v>129.68199999999999</c:v>
                </c:pt>
                <c:pt idx="84">
                  <c:v>129.1395</c:v>
                </c:pt>
                <c:pt idx="85">
                  <c:v>129.0051</c:v>
                </c:pt>
                <c:pt idx="86">
                  <c:v>112.73569999999999</c:v>
                </c:pt>
                <c:pt idx="87">
                  <c:v>126.1123</c:v>
                </c:pt>
                <c:pt idx="88">
                  <c:v>118.3724</c:v>
                </c:pt>
                <c:pt idx="89">
                  <c:v>122.9731</c:v>
                </c:pt>
                <c:pt idx="90">
                  <c:v>130.3663</c:v>
                </c:pt>
                <c:pt idx="91">
                  <c:v>114.226</c:v>
                </c:pt>
                <c:pt idx="92">
                  <c:v>115.7854</c:v>
                </c:pt>
                <c:pt idx="93">
                  <c:v>137.95259999999999</c:v>
                </c:pt>
                <c:pt idx="94">
                  <c:v>112.2435</c:v>
                </c:pt>
                <c:pt idx="95">
                  <c:v>137.23699999999999</c:v>
                </c:pt>
                <c:pt idx="96">
                  <c:v>124.9418</c:v>
                </c:pt>
                <c:pt idx="97">
                  <c:v>135.09610000000001</c:v>
                </c:pt>
                <c:pt idx="98">
                  <c:v>114.4199</c:v>
                </c:pt>
                <c:pt idx="99">
                  <c:v>122.1823</c:v>
                </c:pt>
                <c:pt idx="100">
                  <c:v>129.375</c:v>
                </c:pt>
                <c:pt idx="101">
                  <c:v>129.94479999999999</c:v>
                </c:pt>
                <c:pt idx="102">
                  <c:v>140.45570000000001</c:v>
                </c:pt>
                <c:pt idx="103">
                  <c:v>120.8977</c:v>
                </c:pt>
                <c:pt idx="104">
                  <c:v>129.15899999999999</c:v>
                </c:pt>
                <c:pt idx="105">
                  <c:v>137.1397</c:v>
                </c:pt>
                <c:pt idx="106">
                  <c:v>145.2218</c:v>
                </c:pt>
                <c:pt idx="107">
                  <c:v>140.09559999999999</c:v>
                </c:pt>
                <c:pt idx="108">
                  <c:v>124.12</c:v>
                </c:pt>
                <c:pt idx="109">
                  <c:v>135.6875</c:v>
                </c:pt>
                <c:pt idx="110">
                  <c:v>127.756</c:v>
                </c:pt>
                <c:pt idx="111">
                  <c:v>144.04750000000001</c:v>
                </c:pt>
                <c:pt idx="112">
                  <c:v>131.9333</c:v>
                </c:pt>
                <c:pt idx="113">
                  <c:v>135.52629999999999</c:v>
                </c:pt>
                <c:pt idx="114">
                  <c:v>151.3579</c:v>
                </c:pt>
                <c:pt idx="115">
                  <c:v>124.7073</c:v>
                </c:pt>
                <c:pt idx="116">
                  <c:v>135.274</c:v>
                </c:pt>
                <c:pt idx="117">
                  <c:v>136.53880000000001</c:v>
                </c:pt>
                <c:pt idx="118">
                  <c:v>137.87780000000001</c:v>
                </c:pt>
                <c:pt idx="119">
                  <c:v>114.20659999999999</c:v>
                </c:pt>
                <c:pt idx="120">
                  <c:v>141.58439999999999</c:v>
                </c:pt>
                <c:pt idx="121">
                  <c:v>111.09690000000001</c:v>
                </c:pt>
                <c:pt idx="122">
                  <c:v>126.38679999999999</c:v>
                </c:pt>
                <c:pt idx="123">
                  <c:v>132.88849999999999</c:v>
                </c:pt>
                <c:pt idx="124">
                  <c:v>144.79040000000001</c:v>
                </c:pt>
                <c:pt idx="125">
                  <c:v>108.38590000000001</c:v>
                </c:pt>
                <c:pt idx="126">
                  <c:v>124.1348</c:v>
                </c:pt>
                <c:pt idx="127">
                  <c:v>129.4462</c:v>
                </c:pt>
                <c:pt idx="128">
                  <c:v>131.3339</c:v>
                </c:pt>
                <c:pt idx="129">
                  <c:v>111.64109999999999</c:v>
                </c:pt>
                <c:pt idx="130">
                  <c:v>111.6422</c:v>
                </c:pt>
                <c:pt idx="131">
                  <c:v>140.31780000000001</c:v>
                </c:pt>
                <c:pt idx="132">
                  <c:v>125.5286</c:v>
                </c:pt>
                <c:pt idx="133">
                  <c:v>114.49</c:v>
                </c:pt>
                <c:pt idx="134">
                  <c:v>113.998</c:v>
                </c:pt>
                <c:pt idx="135">
                  <c:v>117.1931</c:v>
                </c:pt>
                <c:pt idx="136">
                  <c:v>138.31559999999999</c:v>
                </c:pt>
                <c:pt idx="137">
                  <c:v>122.3712</c:v>
                </c:pt>
                <c:pt idx="138">
                  <c:v>132.94309999999999</c:v>
                </c:pt>
                <c:pt idx="139">
                  <c:v>124.0449</c:v>
                </c:pt>
                <c:pt idx="140">
                  <c:v>144.1591</c:v>
                </c:pt>
                <c:pt idx="141">
                  <c:v>115.4581</c:v>
                </c:pt>
                <c:pt idx="142">
                  <c:v>116.5192</c:v>
                </c:pt>
                <c:pt idx="143">
                  <c:v>139.6139</c:v>
                </c:pt>
                <c:pt idx="144">
                  <c:v>133.2364</c:v>
                </c:pt>
                <c:pt idx="145">
                  <c:v>120.02500000000001</c:v>
                </c:pt>
                <c:pt idx="146">
                  <c:v>123.11109999999999</c:v>
                </c:pt>
                <c:pt idx="147">
                  <c:v>132.84620000000001</c:v>
                </c:pt>
                <c:pt idx="148">
                  <c:v>120.9359</c:v>
                </c:pt>
                <c:pt idx="149">
                  <c:v>129.77019999999999</c:v>
                </c:pt>
                <c:pt idx="150">
                  <c:v>136.9118</c:v>
                </c:pt>
                <c:pt idx="151">
                  <c:v>131.12100000000001</c:v>
                </c:pt>
                <c:pt idx="152">
                  <c:v>133.48400000000001</c:v>
                </c:pt>
                <c:pt idx="153">
                  <c:v>136.3871</c:v>
                </c:pt>
                <c:pt idx="154">
                  <c:v>131.45590000000001</c:v>
                </c:pt>
                <c:pt idx="155">
                  <c:v>126.1986</c:v>
                </c:pt>
                <c:pt idx="156">
                  <c:v>115.04600000000001</c:v>
                </c:pt>
                <c:pt idx="157">
                  <c:v>130.31780000000001</c:v>
                </c:pt>
                <c:pt idx="158">
                  <c:v>131.69540000000001</c:v>
                </c:pt>
                <c:pt idx="159">
                  <c:v>135.65190000000001</c:v>
                </c:pt>
                <c:pt idx="160">
                  <c:v>120.30289999999999</c:v>
                </c:pt>
                <c:pt idx="161">
                  <c:v>129.14420000000001</c:v>
                </c:pt>
                <c:pt idx="162">
                  <c:v>150.2167</c:v>
                </c:pt>
                <c:pt idx="163">
                  <c:v>120.2076</c:v>
                </c:pt>
                <c:pt idx="164">
                  <c:v>132.15299999999999</c:v>
                </c:pt>
                <c:pt idx="165">
                  <c:v>132.12469999999999</c:v>
                </c:pt>
                <c:pt idx="166">
                  <c:v>119.5029</c:v>
                </c:pt>
                <c:pt idx="167">
                  <c:v>136.7629</c:v>
                </c:pt>
                <c:pt idx="168">
                  <c:v>147.78460000000001</c:v>
                </c:pt>
                <c:pt idx="169">
                  <c:v>145.5992</c:v>
                </c:pt>
                <c:pt idx="170">
                  <c:v>124.9662</c:v>
                </c:pt>
                <c:pt idx="171">
                  <c:v>127.902</c:v>
                </c:pt>
                <c:pt idx="172">
                  <c:v>125.9147</c:v>
                </c:pt>
                <c:pt idx="173">
                  <c:v>109.68210000000001</c:v>
                </c:pt>
                <c:pt idx="174">
                  <c:v>107.77330000000001</c:v>
                </c:pt>
                <c:pt idx="175">
                  <c:v>134.10990000000001</c:v>
                </c:pt>
                <c:pt idx="176">
                  <c:v>134.90100000000001</c:v>
                </c:pt>
                <c:pt idx="177">
                  <c:v>139.63640000000001</c:v>
                </c:pt>
                <c:pt idx="178">
                  <c:v>127.0273</c:v>
                </c:pt>
                <c:pt idx="179">
                  <c:v>134.77170000000001</c:v>
                </c:pt>
                <c:pt idx="180">
                  <c:v>99.971239999999995</c:v>
                </c:pt>
                <c:pt idx="181">
                  <c:v>129.4522</c:v>
                </c:pt>
                <c:pt idx="182">
                  <c:v>129.35919999999999</c:v>
                </c:pt>
                <c:pt idx="183">
                  <c:v>103.65940000000001</c:v>
                </c:pt>
                <c:pt idx="184">
                  <c:v>115.73269999999999</c:v>
                </c:pt>
                <c:pt idx="185">
                  <c:v>104.8874</c:v>
                </c:pt>
                <c:pt idx="186">
                  <c:v>131.00540000000001</c:v>
                </c:pt>
                <c:pt idx="187">
                  <c:v>129.07089999999999</c:v>
                </c:pt>
                <c:pt idx="188">
                  <c:v>102.54940000000001</c:v>
                </c:pt>
                <c:pt idx="189">
                  <c:v>133.22569999999999</c:v>
                </c:pt>
                <c:pt idx="190">
                  <c:v>146.30080000000001</c:v>
                </c:pt>
                <c:pt idx="191">
                  <c:v>140.8125</c:v>
                </c:pt>
                <c:pt idx="192">
                  <c:v>132.46180000000001</c:v>
                </c:pt>
                <c:pt idx="193">
                  <c:v>118.8437</c:v>
                </c:pt>
                <c:pt idx="194">
                  <c:v>133.4495</c:v>
                </c:pt>
                <c:pt idx="195">
                  <c:v>134.88200000000001</c:v>
                </c:pt>
                <c:pt idx="196">
                  <c:v>129.6789</c:v>
                </c:pt>
                <c:pt idx="197">
                  <c:v>136.73179999999999</c:v>
                </c:pt>
                <c:pt idx="198">
                  <c:v>133.99809999999999</c:v>
                </c:pt>
                <c:pt idx="199">
                  <c:v>128.13239999999999</c:v>
                </c:pt>
              </c:numCache>
            </c:numRef>
          </c:yVal>
          <c:smooth val="0"/>
          <c:extLst>
            <c:ext xmlns:c16="http://schemas.microsoft.com/office/drawing/2014/chart" uri="{C3380CC4-5D6E-409C-BE32-E72D297353CC}">
              <c16:uniqueId val="{00000000-90DD-44E4-97AB-1BFFDF8B7432}"/>
            </c:ext>
          </c:extLst>
        </c:ser>
        <c:ser>
          <c:idx val="1"/>
          <c:order val="1"/>
          <c:tx>
            <c:v>Условные средние w</c:v>
          </c:tx>
          <c:spPr>
            <a:ln w="25400" cap="rnd">
              <a:noFill/>
              <a:round/>
            </a:ln>
            <a:effectLst/>
          </c:spPr>
          <c:marker>
            <c:symbol val="circle"/>
            <c:size val="5"/>
            <c:spPr>
              <a:solidFill>
                <a:schemeClr val="accent2"/>
              </a:solidFill>
              <a:ln w="28575">
                <a:solidFill>
                  <a:schemeClr val="accent2"/>
                </a:solidFill>
              </a:ln>
              <a:effectLst/>
            </c:spPr>
          </c:marker>
          <c:xVal>
            <c:numRef>
              <c:f>Sheet1!$X$39:$X$47</c:f>
              <c:numCache>
                <c:formatCode>General</c:formatCode>
                <c:ptCount val="9"/>
                <c:pt idx="0">
                  <c:v>65.731418518518524</c:v>
                </c:pt>
                <c:pt idx="1">
                  <c:v>66.199879999999993</c:v>
                </c:pt>
                <c:pt idx="2">
                  <c:v>67.057123297491046</c:v>
                </c:pt>
                <c:pt idx="3">
                  <c:v>67.924669999999992</c:v>
                </c:pt>
                <c:pt idx="4">
                  <c:v>67.717382312925167</c:v>
                </c:pt>
                <c:pt idx="5">
                  <c:v>68.904699728997301</c:v>
                </c:pt>
                <c:pt idx="6">
                  <c:v>69.100833986928109</c:v>
                </c:pt>
                <c:pt idx="7">
                  <c:v>69.266183333333331</c:v>
                </c:pt>
                <c:pt idx="8">
                  <c:v>71.054844444444441</c:v>
                </c:pt>
              </c:numCache>
            </c:numRef>
          </c:xVal>
          <c:yVal>
            <c:numRef>
              <c:f>Sheet1!$M$39:$M$47</c:f>
              <c:numCache>
                <c:formatCode>General</c:formatCode>
                <c:ptCount val="9"/>
                <c:pt idx="0">
                  <c:v>101.77929333333333</c:v>
                </c:pt>
                <c:pt idx="1">
                  <c:v>108.73268000000002</c:v>
                </c:pt>
                <c:pt idx="2">
                  <c:v>115.68606666666668</c:v>
                </c:pt>
                <c:pt idx="3">
                  <c:v>122.63945333333336</c:v>
                </c:pt>
                <c:pt idx="4">
                  <c:v>129.59284000000002</c:v>
                </c:pt>
                <c:pt idx="5">
                  <c:v>136.54622666666671</c:v>
                </c:pt>
                <c:pt idx="6">
                  <c:v>143.49961333333334</c:v>
                </c:pt>
                <c:pt idx="7">
                  <c:v>150.45300000000003</c:v>
                </c:pt>
                <c:pt idx="8">
                  <c:v>157.4068466666667</c:v>
                </c:pt>
              </c:numCache>
            </c:numRef>
          </c:yVal>
          <c:smooth val="0"/>
          <c:extLst>
            <c:ext xmlns:c16="http://schemas.microsoft.com/office/drawing/2014/chart" uri="{C3380CC4-5D6E-409C-BE32-E72D297353CC}">
              <c16:uniqueId val="{00000002-90DD-44E4-97AB-1BFFDF8B7432}"/>
            </c:ext>
          </c:extLst>
        </c:ser>
        <c:ser>
          <c:idx val="2"/>
          <c:order val="2"/>
          <c:tx>
            <c:v>Условные средние h</c:v>
          </c:tx>
          <c:spPr>
            <a:ln w="25400" cap="rnd">
              <a:noFill/>
              <a:round/>
            </a:ln>
            <a:effectLst/>
          </c:spPr>
          <c:marker>
            <c:symbol val="circle"/>
            <c:size val="5"/>
            <c:spPr>
              <a:solidFill>
                <a:schemeClr val="accent3"/>
              </a:solidFill>
              <a:ln w="9525">
                <a:solidFill>
                  <a:schemeClr val="accent3"/>
                </a:solidFill>
              </a:ln>
              <a:effectLst/>
            </c:spPr>
          </c:marker>
          <c:xVal>
            <c:numRef>
              <c:f>Sheet1!$N$38:$V$38</c:f>
              <c:numCache>
                <c:formatCode>General</c:formatCode>
                <c:ptCount val="9"/>
                <c:pt idx="0">
                  <c:v>63.38911111111112</c:v>
                </c:pt>
                <c:pt idx="1">
                  <c:v>64.66673333333334</c:v>
                </c:pt>
                <c:pt idx="2">
                  <c:v>65.94435555555556</c:v>
                </c:pt>
                <c:pt idx="3">
                  <c:v>67.221977777777781</c:v>
                </c:pt>
                <c:pt idx="4">
                  <c:v>68.499600000000001</c:v>
                </c:pt>
                <c:pt idx="5">
                  <c:v>69.777222222222221</c:v>
                </c:pt>
                <c:pt idx="6">
                  <c:v>71.054844444444441</c:v>
                </c:pt>
                <c:pt idx="7">
                  <c:v>72.332466666666662</c:v>
                </c:pt>
                <c:pt idx="8">
                  <c:v>73.610138888888883</c:v>
                </c:pt>
              </c:numCache>
            </c:numRef>
          </c:xVal>
          <c:yVal>
            <c:numRef>
              <c:f>Sheet1!$N$49:$V$49</c:f>
              <c:numCache>
                <c:formatCode>General</c:formatCode>
                <c:ptCount val="9"/>
                <c:pt idx="0">
                  <c:v>113.36827111111113</c:v>
                </c:pt>
                <c:pt idx="1">
                  <c:v>120.32165777777782</c:v>
                </c:pt>
                <c:pt idx="2">
                  <c:v>123.88112952380955</c:v>
                </c:pt>
                <c:pt idx="3">
                  <c:v>124.75570144927542</c:v>
                </c:pt>
                <c:pt idx="4">
                  <c:v>128.8202414814815</c:v>
                </c:pt>
                <c:pt idx="5">
                  <c:v>131.3757596581197</c:v>
                </c:pt>
                <c:pt idx="6">
                  <c:v>137.17839454545458</c:v>
                </c:pt>
                <c:pt idx="7">
                  <c:v>138.86402222222225</c:v>
                </c:pt>
                <c:pt idx="8">
                  <c:v>150.45300000000003</c:v>
                </c:pt>
              </c:numCache>
            </c:numRef>
          </c:yVal>
          <c:smooth val="0"/>
          <c:extLst>
            <c:ext xmlns:c16="http://schemas.microsoft.com/office/drawing/2014/chart" uri="{C3380CC4-5D6E-409C-BE32-E72D297353CC}">
              <c16:uniqueId val="{00000003-90DD-44E4-97AB-1BFFDF8B7432}"/>
            </c:ext>
          </c:extLst>
        </c:ser>
        <c:dLbls>
          <c:showLegendKey val="0"/>
          <c:showVal val="0"/>
          <c:showCatName val="0"/>
          <c:showSerName val="0"/>
          <c:showPercent val="0"/>
          <c:showBubbleSize val="0"/>
        </c:dLbls>
        <c:axId val="1532870655"/>
        <c:axId val="1532861503"/>
      </c:scatterChart>
      <c:valAx>
        <c:axId val="1532870655"/>
        <c:scaling>
          <c:orientation val="minMax"/>
          <c:max val="74.5"/>
          <c:min val="6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61503"/>
        <c:crosses val="autoZero"/>
        <c:crossBetween val="midCat"/>
      </c:valAx>
      <c:valAx>
        <c:axId val="1532861503"/>
        <c:scaling>
          <c:orientation val="minMax"/>
          <c:max val="162"/>
          <c:min val="9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8706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7470</xdr:colOff>
      <xdr:row>6</xdr:row>
      <xdr:rowOff>4588</xdr:rowOff>
    </xdr:from>
    <xdr:to>
      <xdr:col>18</xdr:col>
      <xdr:colOff>9072</xdr:colOff>
      <xdr:row>33</xdr:row>
      <xdr:rowOff>9071</xdr:rowOff>
    </xdr:to>
    <xdr:graphicFrame macro="">
      <xdr:nvGraphicFramePr>
        <xdr:cNvPr id="2" name="Chart 1">
          <a:extLst>
            <a:ext uri="{FF2B5EF4-FFF2-40B4-BE49-F238E27FC236}">
              <a16:creationId xmlns:a16="http://schemas.microsoft.com/office/drawing/2014/main" id="{324AE62F-06AC-8D31-865D-473122718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598714</xdr:colOff>
      <xdr:row>61</xdr:row>
      <xdr:rowOff>172356</xdr:rowOff>
    </xdr:from>
    <xdr:to>
      <xdr:col>17</xdr:col>
      <xdr:colOff>2322286</xdr:colOff>
      <xdr:row>90</xdr:row>
      <xdr:rowOff>172356</xdr:rowOff>
    </xdr:to>
    <xdr:graphicFrame macro="">
      <xdr:nvGraphicFramePr>
        <xdr:cNvPr id="3" name="Chart 2">
          <a:extLst>
            <a:ext uri="{FF2B5EF4-FFF2-40B4-BE49-F238E27FC236}">
              <a16:creationId xmlns:a16="http://schemas.microsoft.com/office/drawing/2014/main" id="{B507EFE0-769F-4173-9F07-BF515A842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01"/>
  <sheetViews>
    <sheetView tabSelected="1" topLeftCell="F1" zoomScale="70" zoomScaleNormal="70" workbookViewId="0">
      <selection activeCell="R152" sqref="R152"/>
    </sheetView>
  </sheetViews>
  <sheetFormatPr defaultRowHeight="14.5" x14ac:dyDescent="0.35"/>
  <cols>
    <col min="1" max="1" width="17" style="1" customWidth="1"/>
    <col min="2" max="2" width="17.08984375" style="1" customWidth="1"/>
    <col min="3" max="3" width="12.453125" customWidth="1"/>
    <col min="4" max="4" width="11.1796875" customWidth="1"/>
    <col min="5" max="5" width="13.453125" customWidth="1"/>
    <col min="6" max="6" width="15.54296875" customWidth="1"/>
    <col min="7" max="7" width="14.90625" customWidth="1"/>
    <col min="8" max="8" width="15.36328125" customWidth="1"/>
    <col min="9" max="9" width="15.6328125" customWidth="1"/>
    <col min="11" max="11" width="13" customWidth="1"/>
    <col min="12" max="12" width="13.08984375" customWidth="1"/>
    <col min="13" max="13" width="13.36328125" customWidth="1"/>
    <col min="14" max="14" width="13.26953125" customWidth="1"/>
    <col min="15" max="15" width="20.54296875" customWidth="1"/>
    <col min="16" max="16" width="20.1796875" customWidth="1"/>
    <col min="17" max="17" width="19.81640625" customWidth="1"/>
    <col min="18" max="18" width="33.36328125" customWidth="1"/>
    <col min="19" max="19" width="13.26953125" customWidth="1"/>
    <col min="20" max="20" width="13.7265625" customWidth="1"/>
  </cols>
  <sheetData>
    <row r="1" spans="1:26" ht="29.5" customHeight="1" x14ac:dyDescent="0.35">
      <c r="A1" s="4" t="s">
        <v>0</v>
      </c>
      <c r="B1" s="5" t="s">
        <v>1</v>
      </c>
      <c r="C1" s="5" t="s">
        <v>41</v>
      </c>
      <c r="D1" s="5" t="s">
        <v>42</v>
      </c>
      <c r="E1" s="5" t="s">
        <v>43</v>
      </c>
      <c r="F1" s="80" t="s">
        <v>44</v>
      </c>
      <c r="G1" s="80" t="s">
        <v>45</v>
      </c>
      <c r="H1" s="80" t="s">
        <v>46</v>
      </c>
      <c r="I1" s="81" t="s">
        <v>47</v>
      </c>
      <c r="K1" s="4" t="s">
        <v>2</v>
      </c>
      <c r="L1" s="5" t="s">
        <v>3</v>
      </c>
      <c r="M1" s="5" t="s">
        <v>4</v>
      </c>
      <c r="N1" s="5" t="s">
        <v>5</v>
      </c>
      <c r="O1" s="5" t="s">
        <v>10</v>
      </c>
      <c r="P1" s="5" t="s">
        <v>13</v>
      </c>
      <c r="Q1" s="5" t="s">
        <v>6</v>
      </c>
      <c r="R1" s="5" t="s">
        <v>7</v>
      </c>
      <c r="S1" s="5" t="s">
        <v>11</v>
      </c>
      <c r="T1" s="15" t="s">
        <v>12</v>
      </c>
    </row>
    <row r="2" spans="1:26" x14ac:dyDescent="0.35">
      <c r="A2" s="7">
        <v>70.051460000000006</v>
      </c>
      <c r="B2" s="3">
        <v>134.66550000000001</v>
      </c>
      <c r="C2" s="2">
        <f>A2^2</f>
        <v>4907.2070481316005</v>
      </c>
      <c r="D2" s="2">
        <f>B2^2</f>
        <v>18134.796890250003</v>
      </c>
      <c r="E2" s="2">
        <f>A2*B2</f>
        <v>9433.5148866300005</v>
      </c>
      <c r="F2" s="2">
        <f xml:space="preserve"> $K$55 * A2 + $L$55</f>
        <v>133.48780165432692</v>
      </c>
      <c r="G2" s="2">
        <f>F2^2</f>
        <v>17818.993190504923</v>
      </c>
      <c r="H2" s="2">
        <f>B2-F2</f>
        <v>1.1776983456730932</v>
      </c>
      <c r="I2" s="8">
        <f>H2^2</f>
        <v>1.3869733934011406</v>
      </c>
      <c r="K2" s="14">
        <f>MIN(A2:A201)</f>
        <v>62.750390000000003</v>
      </c>
      <c r="L2" s="11">
        <f>MAX(A2:A201)</f>
        <v>74.248990000000006</v>
      </c>
      <c r="M2" s="11">
        <f>MIN(B2:B201)</f>
        <v>98.302620000000005</v>
      </c>
      <c r="N2" s="11">
        <f>MAX(B2:B201)</f>
        <v>160.88310000000001</v>
      </c>
      <c r="O2" s="11">
        <f>L2-K2</f>
        <v>11.498600000000003</v>
      </c>
      <c r="P2" s="11">
        <f>N2-M2</f>
        <v>62.580480000000009</v>
      </c>
      <c r="Q2" s="11">
        <v>200</v>
      </c>
      <c r="R2" s="11">
        <f>ROUNDUP(1 + LOG(Q2,2), 0)</f>
        <v>9</v>
      </c>
      <c r="S2" s="11">
        <f>O2/R2</f>
        <v>1.2776222222222227</v>
      </c>
      <c r="T2" s="12">
        <f>P2/R2</f>
        <v>6.9533866666666677</v>
      </c>
    </row>
    <row r="3" spans="1:26" x14ac:dyDescent="0.35">
      <c r="A3" s="7">
        <v>67.304969999999997</v>
      </c>
      <c r="B3" s="3">
        <v>122.0232</v>
      </c>
      <c r="C3" s="2">
        <f t="shared" ref="C3:C66" si="0">A3^2</f>
        <v>4529.9589867008999</v>
      </c>
      <c r="D3" s="2">
        <f t="shared" ref="D3:D66" si="1">B3^2</f>
        <v>14889.661338240001</v>
      </c>
      <c r="E3" s="2">
        <f t="shared" ref="E3:E66" si="2">A3*B3</f>
        <v>8212.7678153039997</v>
      </c>
      <c r="F3" s="2">
        <f t="shared" ref="F3:F66" si="3" xml:space="preserve"> $K$55 * A3 + $L$55</f>
        <v>125.84791905671902</v>
      </c>
      <c r="G3" s="2">
        <f t="shared" ref="G3:G66" si="4">F3^2</f>
        <v>15837.698730906503</v>
      </c>
      <c r="H3" s="2">
        <f t="shared" ref="H3:H66" si="5">B3-F3</f>
        <v>-3.8247190567190188</v>
      </c>
      <c r="I3" s="8">
        <f t="shared" ref="I3:I66" si="6">H3^2</f>
        <v>14.628475862829621</v>
      </c>
    </row>
    <row r="4" spans="1:26" ht="73" customHeight="1" x14ac:dyDescent="0.35">
      <c r="A4" s="7">
        <v>66.398129999999995</v>
      </c>
      <c r="B4" s="3">
        <v>128.3502</v>
      </c>
      <c r="C4" s="2">
        <f t="shared" si="0"/>
        <v>4408.7116674968993</v>
      </c>
      <c r="D4" s="2">
        <f t="shared" si="1"/>
        <v>16473.773840040001</v>
      </c>
      <c r="E4" s="2">
        <f t="shared" si="2"/>
        <v>8522.2132651259999</v>
      </c>
      <c r="F4" s="2">
        <f t="shared" si="3"/>
        <v>123.32537168359381</v>
      </c>
      <c r="G4" s="2">
        <f t="shared" si="4"/>
        <v>15209.147300896564</v>
      </c>
      <c r="H4" s="2">
        <f t="shared" si="5"/>
        <v>5.024828316406186</v>
      </c>
      <c r="I4" s="8">
        <f t="shared" si="6"/>
        <v>25.248899609357426</v>
      </c>
      <c r="K4" s="4" t="s">
        <v>8</v>
      </c>
      <c r="L4" s="5" t="s">
        <v>9</v>
      </c>
      <c r="M4" s="5" t="s">
        <v>33</v>
      </c>
      <c r="N4" s="5" t="s">
        <v>34</v>
      </c>
      <c r="O4" s="5" t="s">
        <v>35</v>
      </c>
      <c r="P4" s="5" t="s">
        <v>36</v>
      </c>
      <c r="Q4" s="5" t="s">
        <v>32</v>
      </c>
      <c r="R4" s="15" t="s">
        <v>37</v>
      </c>
      <c r="T4" s="60" t="s">
        <v>23</v>
      </c>
      <c r="U4" s="61"/>
      <c r="V4" s="61"/>
      <c r="W4" s="61"/>
      <c r="X4" s="61"/>
      <c r="Y4" s="61"/>
      <c r="Z4" s="62"/>
    </row>
    <row r="5" spans="1:26" x14ac:dyDescent="0.35">
      <c r="A5" s="7">
        <v>69.736369999999994</v>
      </c>
      <c r="B5" s="3">
        <v>130.6354</v>
      </c>
      <c r="C5" s="2">
        <f t="shared" si="0"/>
        <v>4863.1613007768992</v>
      </c>
      <c r="D5" s="2">
        <f t="shared" si="1"/>
        <v>17065.607733160003</v>
      </c>
      <c r="E5" s="2">
        <f t="shared" si="2"/>
        <v>9110.0385894979991</v>
      </c>
      <c r="F5" s="2">
        <f t="shared" si="3"/>
        <v>132.61131908651112</v>
      </c>
      <c r="G5" s="2">
        <f t="shared" si="4"/>
        <v>17585.761949864467</v>
      </c>
      <c r="H5" s="2">
        <f t="shared" si="5"/>
        <v>-1.9759190865111123</v>
      </c>
      <c r="I5" s="8">
        <f t="shared" si="6"/>
        <v>3.9042562364389082</v>
      </c>
      <c r="K5" s="14">
        <f>AVERAGE(A2:A201)</f>
        <v>67.912965500000013</v>
      </c>
      <c r="L5" s="11">
        <f>AVERAGE(B2:B201)</f>
        <v>127.53917380000009</v>
      </c>
      <c r="M5" s="11">
        <f>AVERAGE(C2:C201)</f>
        <v>4615.8118707863632</v>
      </c>
      <c r="N5" s="11">
        <f>AVERAGE(D2:D201)</f>
        <v>16384.507986710563</v>
      </c>
      <c r="O5" s="11">
        <f>M5-K5^2</f>
        <v>3.6409877821715781</v>
      </c>
      <c r="P5" s="11">
        <f>N5-L5^2</f>
        <v>118.2671331239344</v>
      </c>
      <c r="Q5" s="11">
        <f>AVERAGE(E2:E201)</f>
        <v>8671.6916079299936</v>
      </c>
      <c r="R5" s="12">
        <f>(Q5-K5*L5) / SQRT(O5*P5)</f>
        <v>0.48807463575793536</v>
      </c>
      <c r="T5" s="63"/>
      <c r="U5" s="64"/>
      <c r="V5" s="64"/>
      <c r="W5" s="64"/>
      <c r="X5" s="64"/>
      <c r="Y5" s="64"/>
      <c r="Z5" s="65"/>
    </row>
    <row r="6" spans="1:26" x14ac:dyDescent="0.35">
      <c r="A6" s="7">
        <v>68.716589999999997</v>
      </c>
      <c r="B6" s="3">
        <v>131.71700000000001</v>
      </c>
      <c r="C6" s="2">
        <f t="shared" si="0"/>
        <v>4721.9697412280993</v>
      </c>
      <c r="D6" s="2">
        <f t="shared" si="1"/>
        <v>17349.368089000003</v>
      </c>
      <c r="E6" s="2">
        <f t="shared" si="2"/>
        <v>9051.1430850300003</v>
      </c>
      <c r="F6" s="2">
        <f t="shared" si="3"/>
        <v>129.77460769291838</v>
      </c>
      <c r="G6" s="2">
        <f t="shared" si="4"/>
        <v>16841.448801850871</v>
      </c>
      <c r="H6" s="2">
        <f t="shared" si="5"/>
        <v>1.9423923070816329</v>
      </c>
      <c r="I6" s="8">
        <f t="shared" si="6"/>
        <v>3.7728878746099084</v>
      </c>
    </row>
    <row r="7" spans="1:26" x14ac:dyDescent="0.35">
      <c r="A7" s="7">
        <v>63.884369999999997</v>
      </c>
      <c r="B7" s="3">
        <v>108.61320000000001</v>
      </c>
      <c r="C7" s="2">
        <f t="shared" si="0"/>
        <v>4081.2127302968997</v>
      </c>
      <c r="D7" s="2">
        <f t="shared" si="1"/>
        <v>11796.827214240002</v>
      </c>
      <c r="E7" s="2">
        <f t="shared" si="2"/>
        <v>6938.6858556839998</v>
      </c>
      <c r="F7" s="2">
        <f t="shared" si="3"/>
        <v>116.33287170050171</v>
      </c>
      <c r="G7" s="2">
        <f t="shared" si="4"/>
        <v>13533.337038085392</v>
      </c>
      <c r="H7" s="2">
        <f t="shared" si="5"/>
        <v>-7.7196717005017064</v>
      </c>
      <c r="I7" s="8">
        <f t="shared" si="6"/>
        <v>59.593331163526905</v>
      </c>
      <c r="T7" s="16" t="s">
        <v>14</v>
      </c>
      <c r="U7" s="17"/>
      <c r="V7" s="17"/>
      <c r="W7" s="17"/>
      <c r="X7" s="17"/>
      <c r="Y7" s="17"/>
      <c r="Z7" s="18"/>
    </row>
    <row r="8" spans="1:26" x14ac:dyDescent="0.35">
      <c r="A8" s="7">
        <v>68.408510000000007</v>
      </c>
      <c r="B8" s="3">
        <v>114.5673</v>
      </c>
      <c r="C8" s="2">
        <f t="shared" si="0"/>
        <v>4679.7242404201006</v>
      </c>
      <c r="D8" s="2">
        <f t="shared" si="1"/>
        <v>13125.66622929</v>
      </c>
      <c r="E8" s="2">
        <f t="shared" si="2"/>
        <v>7837.3782877230005</v>
      </c>
      <c r="F8" s="2">
        <f t="shared" si="3"/>
        <v>128.91762476901516</v>
      </c>
      <c r="G8" s="2">
        <f t="shared" si="4"/>
        <v>16619.75397608459</v>
      </c>
      <c r="H8" s="2">
        <f t="shared" si="5"/>
        <v>-14.35032476901516</v>
      </c>
      <c r="I8" s="8">
        <f t="shared" si="6"/>
        <v>205.93182097620999</v>
      </c>
      <c r="T8" s="19"/>
      <c r="U8" s="20"/>
      <c r="V8" s="20"/>
      <c r="W8" s="20"/>
      <c r="X8" s="20"/>
      <c r="Y8" s="20"/>
      <c r="Z8" s="21"/>
    </row>
    <row r="9" spans="1:26" x14ac:dyDescent="0.35">
      <c r="A9" s="7">
        <v>67.932509999999994</v>
      </c>
      <c r="B9" s="3">
        <v>133.5136</v>
      </c>
      <c r="C9" s="2">
        <f t="shared" si="0"/>
        <v>4614.8259149000987</v>
      </c>
      <c r="D9" s="2">
        <f t="shared" si="1"/>
        <v>17825.881384959997</v>
      </c>
      <c r="E9" s="2">
        <f t="shared" si="2"/>
        <v>9069.913967135999</v>
      </c>
      <c r="F9" s="2">
        <f t="shared" si="3"/>
        <v>127.5935405318756</v>
      </c>
      <c r="G9" s="2">
        <f t="shared" si="4"/>
        <v>16280.111585459383</v>
      </c>
      <c r="H9" s="2">
        <f t="shared" si="5"/>
        <v>5.9200594681243928</v>
      </c>
      <c r="I9" s="8">
        <f t="shared" si="6"/>
        <v>35.047104106129268</v>
      </c>
      <c r="T9" s="19"/>
      <c r="U9" s="20"/>
      <c r="V9" s="20"/>
      <c r="W9" s="20"/>
      <c r="X9" s="20"/>
      <c r="Y9" s="20"/>
      <c r="Z9" s="21"/>
    </row>
    <row r="10" spans="1:26" x14ac:dyDescent="0.35">
      <c r="A10" s="7">
        <v>70.696740000000005</v>
      </c>
      <c r="B10" s="3">
        <v>135.86410000000001</v>
      </c>
      <c r="C10" s="2">
        <f t="shared" si="0"/>
        <v>4998.029046627601</v>
      </c>
      <c r="D10" s="2">
        <f t="shared" si="1"/>
        <v>18459.053668810004</v>
      </c>
      <c r="E10" s="2">
        <f t="shared" si="2"/>
        <v>9605.1489530340004</v>
      </c>
      <c r="F10" s="2">
        <f t="shared" si="3"/>
        <v>135.28277030252309</v>
      </c>
      <c r="G10" s="2">
        <f t="shared" si="4"/>
        <v>18301.427940725225</v>
      </c>
      <c r="H10" s="2">
        <f t="shared" si="5"/>
        <v>0.58132969747691732</v>
      </c>
      <c r="I10" s="8">
        <f t="shared" si="6"/>
        <v>0.33794421716860423</v>
      </c>
      <c r="T10" s="19"/>
      <c r="U10" s="20"/>
      <c r="V10" s="20"/>
      <c r="W10" s="20"/>
      <c r="X10" s="20"/>
      <c r="Y10" s="20"/>
      <c r="Z10" s="21"/>
    </row>
    <row r="11" spans="1:26" x14ac:dyDescent="0.35">
      <c r="A11" s="7">
        <v>68.950829999999996</v>
      </c>
      <c r="B11" s="3">
        <v>148.10929999999999</v>
      </c>
      <c r="C11" s="2">
        <f t="shared" si="0"/>
        <v>4754.2169576888991</v>
      </c>
      <c r="D11" s="2">
        <f t="shared" si="1"/>
        <v>21936.364746489999</v>
      </c>
      <c r="E11" s="2">
        <f t="shared" si="2"/>
        <v>10212.259165718999</v>
      </c>
      <c r="F11" s="2">
        <f t="shared" si="3"/>
        <v>130.42619065869059</v>
      </c>
      <c r="G11" s="2">
        <f t="shared" si="4"/>
        <v>17010.991209737109</v>
      </c>
      <c r="H11" s="2">
        <f t="shared" si="5"/>
        <v>17.683109341309404</v>
      </c>
      <c r="I11" s="8">
        <f t="shared" si="6"/>
        <v>312.69235597670388</v>
      </c>
      <c r="T11" s="19"/>
      <c r="U11" s="20"/>
      <c r="V11" s="20"/>
      <c r="W11" s="20"/>
      <c r="X11" s="20"/>
      <c r="Y11" s="20"/>
      <c r="Z11" s="21"/>
    </row>
    <row r="12" spans="1:26" x14ac:dyDescent="0.35">
      <c r="A12" s="7">
        <v>66.494569999999996</v>
      </c>
      <c r="B12" s="3">
        <v>123.5179</v>
      </c>
      <c r="C12" s="2">
        <f t="shared" si="0"/>
        <v>4421.5278394848992</v>
      </c>
      <c r="D12" s="2">
        <f t="shared" si="1"/>
        <v>15256.671620409999</v>
      </c>
      <c r="E12" s="2">
        <f t="shared" si="2"/>
        <v>8213.2696478029993</v>
      </c>
      <c r="F12" s="2">
        <f t="shared" si="3"/>
        <v>123.59363782609326</v>
      </c>
      <c r="G12" s="2">
        <f t="shared" si="4"/>
        <v>15275.38731108751</v>
      </c>
      <c r="H12" s="2">
        <f t="shared" si="5"/>
        <v>-7.5737826093259741E-2</v>
      </c>
      <c r="I12" s="8">
        <f t="shared" si="6"/>
        <v>5.7362183013328558E-3</v>
      </c>
      <c r="T12" s="19"/>
      <c r="U12" s="20"/>
      <c r="V12" s="20"/>
      <c r="W12" s="20"/>
      <c r="X12" s="20"/>
      <c r="Y12" s="20"/>
      <c r="Z12" s="21"/>
    </row>
    <row r="13" spans="1:26" x14ac:dyDescent="0.35">
      <c r="A13" s="7">
        <v>68.593689999999995</v>
      </c>
      <c r="B13" s="3">
        <v>120.84059999999999</v>
      </c>
      <c r="C13" s="2">
        <f t="shared" si="0"/>
        <v>4705.094307816099</v>
      </c>
      <c r="D13" s="2">
        <f t="shared" si="1"/>
        <v>14602.450608359999</v>
      </c>
      <c r="E13" s="2">
        <f t="shared" si="2"/>
        <v>8288.9026558139994</v>
      </c>
      <c r="F13" s="2">
        <f t="shared" si="3"/>
        <v>129.4327380442956</v>
      </c>
      <c r="G13" s="2">
        <f t="shared" si="4"/>
        <v>16752.833677643248</v>
      </c>
      <c r="H13" s="2">
        <f t="shared" si="5"/>
        <v>-8.5921380442956092</v>
      </c>
      <c r="I13" s="8">
        <f t="shared" si="6"/>
        <v>73.824836172231983</v>
      </c>
      <c r="T13" s="19"/>
      <c r="U13" s="20"/>
      <c r="V13" s="20"/>
      <c r="W13" s="20"/>
      <c r="X13" s="20"/>
      <c r="Y13" s="20"/>
      <c r="Z13" s="21"/>
    </row>
    <row r="14" spans="1:26" x14ac:dyDescent="0.35">
      <c r="A14" s="7">
        <v>66.264420000000001</v>
      </c>
      <c r="B14" s="3">
        <v>116.2666</v>
      </c>
      <c r="C14" s="2">
        <f t="shared" si="0"/>
        <v>4390.9733579364001</v>
      </c>
      <c r="D14" s="2">
        <f t="shared" si="1"/>
        <v>13517.922275559999</v>
      </c>
      <c r="E14" s="2">
        <f t="shared" si="2"/>
        <v>7704.3388143720003</v>
      </c>
      <c r="F14" s="2">
        <f t="shared" si="3"/>
        <v>122.95343197067801</v>
      </c>
      <c r="G14" s="2">
        <f t="shared" si="4"/>
        <v>15117.546433368145</v>
      </c>
      <c r="H14" s="2">
        <f t="shared" si="5"/>
        <v>-6.6868319706780142</v>
      </c>
      <c r="I14" s="8">
        <f t="shared" si="6"/>
        <v>44.713721804081615</v>
      </c>
      <c r="T14" s="22"/>
      <c r="U14" s="23"/>
      <c r="V14" s="23"/>
      <c r="W14" s="23"/>
      <c r="X14" s="23"/>
      <c r="Y14" s="23"/>
      <c r="Z14" s="24"/>
    </row>
    <row r="15" spans="1:26" x14ac:dyDescent="0.35">
      <c r="A15" s="7">
        <v>69.586560000000006</v>
      </c>
      <c r="B15" s="3">
        <v>123.8986</v>
      </c>
      <c r="C15" s="2">
        <f t="shared" si="0"/>
        <v>4842.2893326336007</v>
      </c>
      <c r="D15" s="2">
        <f t="shared" si="1"/>
        <v>15350.86308196</v>
      </c>
      <c r="E15" s="2">
        <f t="shared" si="2"/>
        <v>8621.6773628160008</v>
      </c>
      <c r="F15" s="2">
        <f t="shared" si="3"/>
        <v>132.1945941714568</v>
      </c>
      <c r="G15" s="2">
        <f t="shared" si="4"/>
        <v>17475.410728156159</v>
      </c>
      <c r="H15" s="2">
        <f t="shared" si="5"/>
        <v>-8.2959941714567975</v>
      </c>
      <c r="I15" s="8">
        <f t="shared" si="6"/>
        <v>68.823519292845162</v>
      </c>
    </row>
    <row r="16" spans="1:26" x14ac:dyDescent="0.35">
      <c r="A16" s="7">
        <v>67.35651</v>
      </c>
      <c r="B16" s="3">
        <v>119.32</v>
      </c>
      <c r="C16" s="2">
        <f t="shared" si="0"/>
        <v>4536.8994393801004</v>
      </c>
      <c r="D16" s="2">
        <f t="shared" si="1"/>
        <v>14237.262399999998</v>
      </c>
      <c r="E16" s="2">
        <f t="shared" si="2"/>
        <v>8036.9787731999995</v>
      </c>
      <c r="F16" s="2">
        <f t="shared" si="3"/>
        <v>125.99128733735385</v>
      </c>
      <c r="G16" s="2">
        <f t="shared" si="4"/>
        <v>15873.804484923661</v>
      </c>
      <c r="H16" s="2">
        <f t="shared" si="5"/>
        <v>-6.6712873373538599</v>
      </c>
      <c r="I16" s="8">
        <f t="shared" si="6"/>
        <v>44.506074737537951</v>
      </c>
    </row>
    <row r="17" spans="1:9" x14ac:dyDescent="0.35">
      <c r="A17" s="7">
        <v>69.687269999999998</v>
      </c>
      <c r="B17" s="3">
        <v>119.4097</v>
      </c>
      <c r="C17" s="2">
        <f t="shared" si="0"/>
        <v>4856.3156000528998</v>
      </c>
      <c r="D17" s="2">
        <f t="shared" si="1"/>
        <v>14258.67645409</v>
      </c>
      <c r="E17" s="2">
        <f t="shared" si="2"/>
        <v>8321.3360045190002</v>
      </c>
      <c r="F17" s="2">
        <f t="shared" si="3"/>
        <v>132.47473812843646</v>
      </c>
      <c r="G17" s="2">
        <f t="shared" si="4"/>
        <v>17549.556242197817</v>
      </c>
      <c r="H17" s="2">
        <f t="shared" si="5"/>
        <v>-13.065038128436456</v>
      </c>
      <c r="I17" s="8">
        <f t="shared" si="6"/>
        <v>170.69522129749836</v>
      </c>
    </row>
    <row r="18" spans="1:9" x14ac:dyDescent="0.35">
      <c r="A18" s="7">
        <v>68.440460000000002</v>
      </c>
      <c r="B18" s="3">
        <v>124.5933</v>
      </c>
      <c r="C18" s="2">
        <f t="shared" si="0"/>
        <v>4684.0965650116004</v>
      </c>
      <c r="D18" s="2">
        <f t="shared" si="1"/>
        <v>15523.490404890001</v>
      </c>
      <c r="E18" s="2">
        <f t="shared" si="2"/>
        <v>8527.2227649180004</v>
      </c>
      <c r="F18" s="2">
        <f t="shared" si="3"/>
        <v>129.0064997508988</v>
      </c>
      <c r="G18" s="2">
        <f t="shared" si="4"/>
        <v>16642.676977978652</v>
      </c>
      <c r="H18" s="2">
        <f t="shared" si="5"/>
        <v>-4.4131997508987979</v>
      </c>
      <c r="I18" s="8">
        <f t="shared" si="6"/>
        <v>19.476332041333212</v>
      </c>
    </row>
    <row r="19" spans="1:9" x14ac:dyDescent="0.35">
      <c r="A19" s="7">
        <v>68.479730000000004</v>
      </c>
      <c r="B19" s="3">
        <v>130.8802</v>
      </c>
      <c r="C19" s="2">
        <f t="shared" si="0"/>
        <v>4689.4734208729005</v>
      </c>
      <c r="D19" s="2">
        <f t="shared" si="1"/>
        <v>17129.62675204</v>
      </c>
      <c r="E19" s="2">
        <f t="shared" si="2"/>
        <v>8962.6407583460004</v>
      </c>
      <c r="F19" s="2">
        <f t="shared" si="3"/>
        <v>129.11573670046278</v>
      </c>
      <c r="G19" s="2">
        <f t="shared" si="4"/>
        <v>16670.873463703228</v>
      </c>
      <c r="H19" s="2">
        <f t="shared" si="5"/>
        <v>1.7644632995372262</v>
      </c>
      <c r="I19" s="8">
        <f t="shared" si="6"/>
        <v>3.1133307354137956</v>
      </c>
    </row>
    <row r="20" spans="1:9" x14ac:dyDescent="0.35">
      <c r="A20" s="7">
        <v>65.454629999999995</v>
      </c>
      <c r="B20" s="3">
        <v>118.2058</v>
      </c>
      <c r="C20" s="2">
        <f t="shared" si="0"/>
        <v>4284.3085884368993</v>
      </c>
      <c r="D20" s="2">
        <f t="shared" si="1"/>
        <v>13972.611153639999</v>
      </c>
      <c r="E20" s="2">
        <f t="shared" si="2"/>
        <v>7737.1169028539989</v>
      </c>
      <c r="F20" s="2">
        <f t="shared" si="3"/>
        <v>120.70084757069226</v>
      </c>
      <c r="G20" s="2">
        <f t="shared" si="4"/>
        <v>14568.694604283488</v>
      </c>
      <c r="H20" s="2">
        <f t="shared" si="5"/>
        <v>-2.4950475706922646</v>
      </c>
      <c r="I20" s="8">
        <f t="shared" si="6"/>
        <v>6.2252623800173712</v>
      </c>
    </row>
    <row r="21" spans="1:9" x14ac:dyDescent="0.35">
      <c r="A21" s="7">
        <v>66.808499999999995</v>
      </c>
      <c r="B21" s="3">
        <v>109.6357</v>
      </c>
      <c r="C21" s="2">
        <f t="shared" si="0"/>
        <v>4463.3756722499993</v>
      </c>
      <c r="D21" s="2">
        <f t="shared" si="1"/>
        <v>12019.98671449</v>
      </c>
      <c r="E21" s="2">
        <f t="shared" si="2"/>
        <v>7324.5966634499991</v>
      </c>
      <c r="F21" s="2">
        <f t="shared" si="3"/>
        <v>124.46689363400337</v>
      </c>
      <c r="G21" s="2">
        <f t="shared" si="4"/>
        <v>15492.007610898308</v>
      </c>
      <c r="H21" s="2">
        <f t="shared" si="5"/>
        <v>-14.83119363400337</v>
      </c>
      <c r="I21" s="8">
        <f t="shared" si="6"/>
        <v>219.96430460930208</v>
      </c>
    </row>
    <row r="22" spans="1:9" x14ac:dyDescent="0.35">
      <c r="A22" s="7">
        <v>70.052120000000002</v>
      </c>
      <c r="B22" s="3">
        <v>140.22980000000001</v>
      </c>
      <c r="C22" s="2">
        <f t="shared" si="0"/>
        <v>4907.2995164944005</v>
      </c>
      <c r="D22" s="2">
        <f t="shared" si="1"/>
        <v>19664.396808040005</v>
      </c>
      <c r="E22" s="2">
        <f t="shared" si="2"/>
        <v>9823.3947771760013</v>
      </c>
      <c r="F22" s="2">
        <f t="shared" si="3"/>
        <v>133.48963756944562</v>
      </c>
      <c r="G22" s="2">
        <f t="shared" si="4"/>
        <v>17819.483338421949</v>
      </c>
      <c r="H22" s="2">
        <f t="shared" si="5"/>
        <v>6.7401624305543919</v>
      </c>
      <c r="I22" s="8">
        <f t="shared" si="6"/>
        <v>45.429789590256888</v>
      </c>
    </row>
    <row r="23" spans="1:9" x14ac:dyDescent="0.35">
      <c r="A23" s="7">
        <v>67.435580000000002</v>
      </c>
      <c r="B23" s="3">
        <v>121.57640000000001</v>
      </c>
      <c r="C23" s="2">
        <f t="shared" si="0"/>
        <v>4547.5574499364002</v>
      </c>
      <c r="D23" s="2">
        <f t="shared" si="1"/>
        <v>14780.821036960002</v>
      </c>
      <c r="E23" s="2">
        <f t="shared" si="2"/>
        <v>8198.5750483120009</v>
      </c>
      <c r="F23" s="2">
        <f t="shared" si="3"/>
        <v>126.21123553195601</v>
      </c>
      <c r="G23" s="2">
        <f t="shared" si="4"/>
        <v>15929.275974502874</v>
      </c>
      <c r="H23" s="2">
        <f t="shared" si="5"/>
        <v>-4.634835531956</v>
      </c>
      <c r="I23" s="8">
        <f t="shared" si="6"/>
        <v>21.481700408281856</v>
      </c>
    </row>
    <row r="24" spans="1:9" x14ac:dyDescent="0.35">
      <c r="A24" s="7">
        <v>66.543059999999997</v>
      </c>
      <c r="B24" s="3">
        <v>98.302620000000005</v>
      </c>
      <c r="C24" s="2">
        <f t="shared" si="0"/>
        <v>4427.9788341635995</v>
      </c>
      <c r="D24" s="2">
        <f t="shared" si="1"/>
        <v>9663.4050988644012</v>
      </c>
      <c r="E24" s="2">
        <f t="shared" si="2"/>
        <v>6541.3571408172002</v>
      </c>
      <c r="F24" s="2">
        <f t="shared" si="3"/>
        <v>123.7285219535279</v>
      </c>
      <c r="G24" s="2">
        <f t="shared" si="4"/>
        <v>15308.747144804636</v>
      </c>
      <c r="H24" s="2">
        <f t="shared" si="5"/>
        <v>-25.425901953527898</v>
      </c>
      <c r="I24" s="8">
        <f t="shared" si="6"/>
        <v>646.47649015041384</v>
      </c>
    </row>
    <row r="25" spans="1:9" x14ac:dyDescent="0.35">
      <c r="A25" s="7">
        <v>67.323530000000005</v>
      </c>
      <c r="B25" s="3">
        <v>117.6173</v>
      </c>
      <c r="C25" s="2">
        <f t="shared" si="0"/>
        <v>4532.4576916609003</v>
      </c>
      <c r="D25" s="2">
        <f t="shared" si="1"/>
        <v>13833.82925929</v>
      </c>
      <c r="E25" s="2">
        <f t="shared" si="2"/>
        <v>7918.4118250690008</v>
      </c>
      <c r="F25" s="2">
        <f t="shared" si="3"/>
        <v>125.89954721520921</v>
      </c>
      <c r="G25" s="2">
        <f t="shared" si="4"/>
        <v>15850.695988994694</v>
      </c>
      <c r="H25" s="2">
        <f t="shared" si="5"/>
        <v>-8.2822472152092104</v>
      </c>
      <c r="I25" s="8">
        <f t="shared" si="6"/>
        <v>68.595618933840726</v>
      </c>
    </row>
    <row r="26" spans="1:9" x14ac:dyDescent="0.35">
      <c r="A26" s="7">
        <v>67.972499999999997</v>
      </c>
      <c r="B26" s="3">
        <v>136.5104</v>
      </c>
      <c r="C26" s="2">
        <f t="shared" si="0"/>
        <v>4620.2607562499998</v>
      </c>
      <c r="D26" s="2">
        <f t="shared" si="1"/>
        <v>18635.089308160001</v>
      </c>
      <c r="E26" s="2">
        <f t="shared" si="2"/>
        <v>9278.9531640000005</v>
      </c>
      <c r="F26" s="2">
        <f t="shared" si="3"/>
        <v>127.70478029793277</v>
      </c>
      <c r="G26" s="2">
        <f t="shared" si="4"/>
        <v>16308.510910943278</v>
      </c>
      <c r="H26" s="2">
        <f t="shared" si="5"/>
        <v>8.8056197020672329</v>
      </c>
      <c r="I26" s="8">
        <f t="shared" si="6"/>
        <v>77.538938337434629</v>
      </c>
    </row>
    <row r="27" spans="1:9" x14ac:dyDescent="0.35">
      <c r="A27" s="7">
        <v>69.038579999999996</v>
      </c>
      <c r="B27" s="3">
        <v>148.97909999999999</v>
      </c>
      <c r="C27" s="2">
        <f t="shared" si="0"/>
        <v>4766.3255284163997</v>
      </c>
      <c r="D27" s="2">
        <f t="shared" si="1"/>
        <v>22194.772236809997</v>
      </c>
      <c r="E27" s="2">
        <f t="shared" si="2"/>
        <v>10285.305513677999</v>
      </c>
      <c r="F27" s="2">
        <f t="shared" si="3"/>
        <v>130.67028391879353</v>
      </c>
      <c r="G27" s="2">
        <f t="shared" si="4"/>
        <v>17074.723099418112</v>
      </c>
      <c r="H27" s="2">
        <f t="shared" si="5"/>
        <v>18.308816081206459</v>
      </c>
      <c r="I27" s="8">
        <f t="shared" si="6"/>
        <v>335.21274629544422</v>
      </c>
    </row>
    <row r="28" spans="1:9" x14ac:dyDescent="0.35">
      <c r="A28" s="7">
        <v>67.69453</v>
      </c>
      <c r="B28" s="3">
        <v>123.9665</v>
      </c>
      <c r="C28" s="2">
        <f t="shared" si="0"/>
        <v>4582.5493919209002</v>
      </c>
      <c r="D28" s="2">
        <f t="shared" si="1"/>
        <v>15367.693122249999</v>
      </c>
      <c r="E28" s="2">
        <f t="shared" si="2"/>
        <v>8391.8539532449995</v>
      </c>
      <c r="F28" s="2">
        <f t="shared" si="3"/>
        <v>126.93155404709735</v>
      </c>
      <c r="G28" s="2">
        <f t="shared" si="4"/>
        <v>16111.619412811197</v>
      </c>
      <c r="H28" s="2">
        <f t="shared" si="5"/>
        <v>-2.9650540470973539</v>
      </c>
      <c r="I28" s="8">
        <f t="shared" si="6"/>
        <v>8.7915455022083968</v>
      </c>
    </row>
    <row r="29" spans="1:9" x14ac:dyDescent="0.35">
      <c r="A29" s="7">
        <v>69.305080000000004</v>
      </c>
      <c r="B29" s="3">
        <v>133.59569999999999</v>
      </c>
      <c r="C29" s="2">
        <f t="shared" si="0"/>
        <v>4803.1941138064003</v>
      </c>
      <c r="D29" s="2">
        <f t="shared" si="1"/>
        <v>17847.811058489999</v>
      </c>
      <c r="E29" s="2">
        <f t="shared" si="2"/>
        <v>9258.8606761560004</v>
      </c>
      <c r="F29" s="2">
        <f t="shared" si="3"/>
        <v>131.41160419021725</v>
      </c>
      <c r="G29" s="2">
        <f t="shared" si="4"/>
        <v>17269.009715846321</v>
      </c>
      <c r="H29" s="2">
        <f t="shared" si="5"/>
        <v>2.1840958097827468</v>
      </c>
      <c r="I29" s="8">
        <f t="shared" si="6"/>
        <v>4.7702745063105523</v>
      </c>
    </row>
    <row r="30" spans="1:9" x14ac:dyDescent="0.35">
      <c r="A30" s="7">
        <v>65.396429999999995</v>
      </c>
      <c r="B30" s="3">
        <v>117.2334</v>
      </c>
      <c r="C30" s="2">
        <f t="shared" si="0"/>
        <v>4276.693056744899</v>
      </c>
      <c r="D30" s="2">
        <f t="shared" si="1"/>
        <v>13743.670075560001</v>
      </c>
      <c r="E30" s="2">
        <f t="shared" si="2"/>
        <v>7666.6458367619998</v>
      </c>
      <c r="F30" s="2">
        <f t="shared" si="3"/>
        <v>120.53895323749579</v>
      </c>
      <c r="G30" s="2">
        <f t="shared" si="4"/>
        <v>14529.639247591196</v>
      </c>
      <c r="H30" s="2">
        <f t="shared" si="5"/>
        <v>-3.3055532374957863</v>
      </c>
      <c r="I30" s="8">
        <f t="shared" si="6"/>
        <v>10.926682205918874</v>
      </c>
    </row>
    <row r="31" spans="1:9" x14ac:dyDescent="0.35">
      <c r="A31" s="7">
        <v>68.356380000000001</v>
      </c>
      <c r="B31" s="3">
        <v>123.5943</v>
      </c>
      <c r="C31" s="2">
        <f t="shared" si="0"/>
        <v>4672.5946867044004</v>
      </c>
      <c r="D31" s="2">
        <f t="shared" si="1"/>
        <v>15275.550992490002</v>
      </c>
      <c r="E31" s="2">
        <f t="shared" si="2"/>
        <v>8448.4589366340006</v>
      </c>
      <c r="F31" s="2">
        <f t="shared" si="3"/>
        <v>128.77261529153179</v>
      </c>
      <c r="G31" s="2">
        <f t="shared" si="4"/>
        <v>16582.386449020847</v>
      </c>
      <c r="H31" s="2">
        <f t="shared" si="5"/>
        <v>-5.1783152915317885</v>
      </c>
      <c r="I31" s="8">
        <f t="shared" si="6"/>
        <v>26.814949258511952</v>
      </c>
    </row>
    <row r="32" spans="1:9" x14ac:dyDescent="0.35">
      <c r="A32" s="7">
        <v>65.368880000000004</v>
      </c>
      <c r="B32" s="3">
        <v>117.76739999999999</v>
      </c>
      <c r="C32" s="2">
        <f t="shared" si="0"/>
        <v>4273.0904724544007</v>
      </c>
      <c r="D32" s="2">
        <f t="shared" si="1"/>
        <v>13869.160502759998</v>
      </c>
      <c r="E32" s="2">
        <f t="shared" si="2"/>
        <v>7698.3230385120005</v>
      </c>
      <c r="F32" s="2">
        <f t="shared" si="3"/>
        <v>120.46231768973699</v>
      </c>
      <c r="G32" s="2">
        <f t="shared" si="4"/>
        <v>14511.169983183121</v>
      </c>
      <c r="H32" s="2">
        <f t="shared" si="5"/>
        <v>-2.6949176897369966</v>
      </c>
      <c r="I32" s="8">
        <f t="shared" si="6"/>
        <v>7.2625813544573914</v>
      </c>
    </row>
    <row r="33" spans="1:32" x14ac:dyDescent="0.35">
      <c r="A33" s="7">
        <v>68.364990000000006</v>
      </c>
      <c r="B33" s="3">
        <v>137.2321</v>
      </c>
      <c r="C33" s="2">
        <f t="shared" si="0"/>
        <v>4673.7718577001006</v>
      </c>
      <c r="D33" s="2">
        <f t="shared" si="1"/>
        <v>18832.649270410002</v>
      </c>
      <c r="E33" s="2">
        <f t="shared" si="2"/>
        <v>9381.8711441790001</v>
      </c>
      <c r="F33" s="2">
        <f t="shared" si="3"/>
        <v>128.79656563876239</v>
      </c>
      <c r="G33" s="2">
        <f t="shared" si="4"/>
        <v>16588.555320340027</v>
      </c>
      <c r="H33" s="2">
        <f t="shared" si="5"/>
        <v>8.4355343612376146</v>
      </c>
      <c r="I33" s="8">
        <f t="shared" si="6"/>
        <v>71.158239959620488</v>
      </c>
    </row>
    <row r="34" spans="1:32" x14ac:dyDescent="0.35">
      <c r="A34" s="7">
        <v>71.157020000000003</v>
      </c>
      <c r="B34" s="3">
        <v>129.1996</v>
      </c>
      <c r="C34" s="2">
        <f t="shared" si="0"/>
        <v>5063.3214952804001</v>
      </c>
      <c r="D34" s="2">
        <f t="shared" si="1"/>
        <v>16692.53664016</v>
      </c>
      <c r="E34" s="2">
        <f t="shared" si="2"/>
        <v>9193.4585211920003</v>
      </c>
      <c r="F34" s="2">
        <f t="shared" si="3"/>
        <v>136.56312637956211</v>
      </c>
      <c r="G34" s="2">
        <f t="shared" si="4"/>
        <v>18649.487486560251</v>
      </c>
      <c r="H34" s="2">
        <f t="shared" si="5"/>
        <v>-7.3635263795621029</v>
      </c>
      <c r="I34" s="8">
        <f t="shared" si="6"/>
        <v>54.221520742506968</v>
      </c>
    </row>
    <row r="35" spans="1:32" x14ac:dyDescent="0.35">
      <c r="A35" s="7">
        <v>69.255319999999998</v>
      </c>
      <c r="B35" s="3">
        <v>142.4032</v>
      </c>
      <c r="C35" s="2">
        <f t="shared" si="0"/>
        <v>4796.2993483023993</v>
      </c>
      <c r="D35" s="2">
        <f t="shared" si="1"/>
        <v>20278.671370240001</v>
      </c>
      <c r="E35" s="2">
        <f t="shared" si="2"/>
        <v>9862.1791850239988</v>
      </c>
      <c r="F35" s="2">
        <f t="shared" si="3"/>
        <v>131.27318731702383</v>
      </c>
      <c r="G35" s="2">
        <f t="shared" si="4"/>
        <v>17232.649708370423</v>
      </c>
      <c r="H35" s="2">
        <f t="shared" si="5"/>
        <v>11.130012682976172</v>
      </c>
      <c r="I35" s="8">
        <f t="shared" si="6"/>
        <v>123.87718232321045</v>
      </c>
      <c r="K35" s="2"/>
      <c r="L35" s="2"/>
      <c r="M35" s="2"/>
      <c r="N35" s="2"/>
      <c r="O35" s="2"/>
      <c r="P35" s="2"/>
      <c r="Q35" s="2"/>
      <c r="R35" s="2"/>
      <c r="S35" s="2"/>
      <c r="T35" s="2"/>
      <c r="U35" s="2"/>
      <c r="V35" s="2"/>
      <c r="W35" s="2"/>
      <c r="X35" s="2"/>
      <c r="Y35" s="2"/>
    </row>
    <row r="36" spans="1:32" x14ac:dyDescent="0.35">
      <c r="A36" s="7">
        <v>66.698400000000007</v>
      </c>
      <c r="B36" s="3">
        <v>128.4838</v>
      </c>
      <c r="C36" s="2">
        <f t="shared" si="0"/>
        <v>4448.676562560001</v>
      </c>
      <c r="D36" s="2">
        <f t="shared" si="1"/>
        <v>16508.086862439999</v>
      </c>
      <c r="E36" s="2">
        <f t="shared" si="2"/>
        <v>8569.6638859200011</v>
      </c>
      <c r="F36" s="2">
        <f t="shared" si="3"/>
        <v>124.16062961192553</v>
      </c>
      <c r="G36" s="2">
        <f t="shared" si="4"/>
        <v>15415.861945629758</v>
      </c>
      <c r="H36" s="2">
        <f t="shared" si="5"/>
        <v>4.3231703880744732</v>
      </c>
      <c r="I36" s="8">
        <f t="shared" si="6"/>
        <v>18.689802204323993</v>
      </c>
      <c r="K36" s="49" t="s">
        <v>20</v>
      </c>
      <c r="L36" s="50"/>
      <c r="M36" s="37" t="s">
        <v>15</v>
      </c>
      <c r="N36" s="38">
        <f>ROUNDDOWN(K2, 4)</f>
        <v>62.750300000000003</v>
      </c>
      <c r="O36" s="38">
        <f>N37</f>
        <v>64.02792222222223</v>
      </c>
      <c r="P36" s="38">
        <f t="shared" ref="P36:V36" si="7">O37</f>
        <v>65.30554444444445</v>
      </c>
      <c r="Q36" s="38">
        <f t="shared" si="7"/>
        <v>66.583166666666671</v>
      </c>
      <c r="R36" s="38">
        <f t="shared" si="7"/>
        <v>67.860788888888891</v>
      </c>
      <c r="S36" s="38">
        <f t="shared" si="7"/>
        <v>69.138411111111111</v>
      </c>
      <c r="T36" s="38">
        <f t="shared" si="7"/>
        <v>70.416033333333331</v>
      </c>
      <c r="U36" s="38">
        <f t="shared" si="7"/>
        <v>71.693655555555551</v>
      </c>
      <c r="V36" s="39">
        <f t="shared" si="7"/>
        <v>72.971277777777772</v>
      </c>
      <c r="W36" s="2"/>
      <c r="X36" s="2"/>
      <c r="Y36" s="2"/>
    </row>
    <row r="37" spans="1:32" x14ac:dyDescent="0.35">
      <c r="A37" s="7">
        <v>69.175479999999993</v>
      </c>
      <c r="B37" s="3">
        <v>115.3008</v>
      </c>
      <c r="C37" s="2">
        <f t="shared" si="0"/>
        <v>4785.2470332303992</v>
      </c>
      <c r="D37" s="2">
        <f t="shared" si="1"/>
        <v>13294.274480639999</v>
      </c>
      <c r="E37" s="2">
        <f t="shared" si="2"/>
        <v>7975.9881843839985</v>
      </c>
      <c r="F37" s="2">
        <f t="shared" si="3"/>
        <v>131.05109722144982</v>
      </c>
      <c r="G37" s="2">
        <f t="shared" si="4"/>
        <v>17174.390082945894</v>
      </c>
      <c r="H37" s="2">
        <f t="shared" si="5"/>
        <v>-15.750297221449827</v>
      </c>
      <c r="I37" s="8">
        <f t="shared" si="6"/>
        <v>248.07186256401013</v>
      </c>
      <c r="K37" s="51"/>
      <c r="L37" s="52"/>
      <c r="M37" s="40" t="s">
        <v>16</v>
      </c>
      <c r="N37" s="41">
        <f>N36+$S$2</f>
        <v>64.02792222222223</v>
      </c>
      <c r="O37" s="41">
        <f>O36+$S$2</f>
        <v>65.30554444444445</v>
      </c>
      <c r="P37" s="41">
        <f t="shared" ref="P37:V37" si="8">P36+$S$2</f>
        <v>66.583166666666671</v>
      </c>
      <c r="Q37" s="41">
        <f t="shared" si="8"/>
        <v>67.860788888888891</v>
      </c>
      <c r="R37" s="41">
        <f t="shared" si="8"/>
        <v>69.138411111111111</v>
      </c>
      <c r="S37" s="41">
        <f t="shared" si="8"/>
        <v>70.416033333333331</v>
      </c>
      <c r="T37" s="41">
        <f t="shared" si="8"/>
        <v>71.693655555555551</v>
      </c>
      <c r="U37" s="41">
        <f t="shared" si="8"/>
        <v>72.971277777777772</v>
      </c>
      <c r="V37" s="42">
        <f>ROUNDUP(L2,4)</f>
        <v>74.249000000000009</v>
      </c>
      <c r="W37" s="2"/>
      <c r="X37" s="2"/>
      <c r="Y37" s="2"/>
    </row>
    <row r="38" spans="1:32" ht="17.5" customHeight="1" x14ac:dyDescent="0.35">
      <c r="A38" s="7">
        <v>68.31559</v>
      </c>
      <c r="B38" s="3">
        <v>119.5309</v>
      </c>
      <c r="C38" s="2">
        <f t="shared" si="0"/>
        <v>4667.0198370481003</v>
      </c>
      <c r="D38" s="2">
        <f t="shared" si="1"/>
        <v>14287.63605481</v>
      </c>
      <c r="E38" s="2">
        <f t="shared" si="2"/>
        <v>8165.8239567310002</v>
      </c>
      <c r="F38" s="2">
        <f t="shared" si="3"/>
        <v>128.65915017381559</v>
      </c>
      <c r="G38" s="2">
        <f t="shared" si="4"/>
        <v>16553.176923448431</v>
      </c>
      <c r="H38" s="2">
        <f t="shared" si="5"/>
        <v>-9.1282501738155872</v>
      </c>
      <c r="I38" s="8">
        <f t="shared" si="6"/>
        <v>83.324951235764303</v>
      </c>
      <c r="K38" s="37" t="s">
        <v>17</v>
      </c>
      <c r="L38" s="43" t="s">
        <v>18</v>
      </c>
      <c r="M38" s="33" t="s">
        <v>19</v>
      </c>
      <c r="N38" s="34">
        <f>(N36+N37)/2</f>
        <v>63.38911111111112</v>
      </c>
      <c r="O38" s="34">
        <f t="shared" ref="O38:V38" si="9">(O36+O37)/2</f>
        <v>64.66673333333334</v>
      </c>
      <c r="P38" s="34">
        <f t="shared" si="9"/>
        <v>65.94435555555556</v>
      </c>
      <c r="Q38" s="34">
        <f t="shared" si="9"/>
        <v>67.221977777777781</v>
      </c>
      <c r="R38" s="34">
        <f t="shared" si="9"/>
        <v>68.499600000000001</v>
      </c>
      <c r="S38" s="34">
        <f t="shared" si="9"/>
        <v>69.777222222222221</v>
      </c>
      <c r="T38" s="34">
        <f t="shared" si="9"/>
        <v>71.054844444444441</v>
      </c>
      <c r="U38" s="34">
        <f t="shared" si="9"/>
        <v>72.332466666666662</v>
      </c>
      <c r="V38" s="34">
        <f t="shared" si="9"/>
        <v>73.610138888888883</v>
      </c>
      <c r="W38" s="48" t="s">
        <v>22</v>
      </c>
      <c r="X38" s="48" t="s">
        <v>24</v>
      </c>
      <c r="Y38" s="2"/>
      <c r="Z38" s="16" t="s">
        <v>25</v>
      </c>
      <c r="AA38" s="17"/>
      <c r="AB38" s="17"/>
      <c r="AC38" s="17"/>
      <c r="AD38" s="17"/>
      <c r="AE38" s="17"/>
      <c r="AF38" s="18"/>
    </row>
    <row r="39" spans="1:32" x14ac:dyDescent="0.35">
      <c r="A39" s="7">
        <v>67.816159999999996</v>
      </c>
      <c r="B39" s="3">
        <v>121.72239999999999</v>
      </c>
      <c r="C39" s="2">
        <f t="shared" si="0"/>
        <v>4599.0315571455994</v>
      </c>
      <c r="D39" s="2">
        <f t="shared" si="1"/>
        <v>14816.342661759998</v>
      </c>
      <c r="E39" s="2">
        <f t="shared" si="2"/>
        <v>8254.7457539839997</v>
      </c>
      <c r="F39" s="2">
        <f t="shared" si="3"/>
        <v>127.26989094996138</v>
      </c>
      <c r="G39" s="2">
        <f t="shared" si="4"/>
        <v>16197.625142415061</v>
      </c>
      <c r="H39" s="2">
        <f t="shared" si="5"/>
        <v>-5.5474909499613858</v>
      </c>
      <c r="I39" s="8">
        <f t="shared" si="6"/>
        <v>30.774655839903478</v>
      </c>
      <c r="K39" s="44">
        <f>ROUNDDOWN(M2, 4)</f>
        <v>98.302599999999998</v>
      </c>
      <c r="L39" s="45">
        <f>K39+$T$2</f>
        <v>105.25598666666667</v>
      </c>
      <c r="M39" s="35">
        <f>(K39+L39)/2</f>
        <v>101.77929333333333</v>
      </c>
      <c r="N39" s="13">
        <f>COUNTIFS($A$2:$A$201, "&gt;=" &amp;N$36,  $A$2:$A$201, "&lt;" &amp;N$37, $B$2:$B$201,  "&gt;=" &amp;$K39, $B$2:$B$201, "&lt;"&amp;$L39)</f>
        <v>1</v>
      </c>
      <c r="O39" s="6">
        <f t="shared" ref="O39:V47" si="10">COUNTIFS($A$2:$A$201, "&gt;=" &amp;O$36,  $A$2:$A$201, "&lt;" &amp;O$37, $B$2:$B$201,  "&gt;=" &amp;$K39, $B$2:$B$201, "&lt;"&amp;$L39)</f>
        <v>1</v>
      </c>
      <c r="P39" s="6">
        <f t="shared" si="10"/>
        <v>3</v>
      </c>
      <c r="Q39" s="6">
        <f t="shared" si="10"/>
        <v>0</v>
      </c>
      <c r="R39" s="6">
        <f t="shared" si="10"/>
        <v>1</v>
      </c>
      <c r="S39" s="6">
        <f t="shared" si="10"/>
        <v>0</v>
      </c>
      <c r="T39" s="6">
        <f t="shared" si="10"/>
        <v>0</v>
      </c>
      <c r="U39" s="6">
        <f t="shared" si="10"/>
        <v>0</v>
      </c>
      <c r="V39" s="6">
        <f t="shared" si="10"/>
        <v>0</v>
      </c>
      <c r="W39" s="54">
        <f t="shared" ref="W39:W47" si="11">SUM(N39:V39)</f>
        <v>6</v>
      </c>
      <c r="X39" s="53">
        <f>(N39*$N$38 + O39*$O$38+P39*$P$38+Q39*$Q$38+R39*$R$38+S39*$S$38+T39*$T$38+U39*$U$38+V39*$V$38)/W39</f>
        <v>65.731418518518524</v>
      </c>
      <c r="Y39" s="2"/>
      <c r="Z39" s="19"/>
      <c r="AA39" s="20"/>
      <c r="AB39" s="20"/>
      <c r="AC39" s="20"/>
      <c r="AD39" s="20"/>
      <c r="AE39" s="20"/>
      <c r="AF39" s="21"/>
    </row>
    <row r="40" spans="1:32" x14ac:dyDescent="0.35">
      <c r="A40" s="7">
        <v>68.561229999999995</v>
      </c>
      <c r="B40" s="3">
        <v>142.8442</v>
      </c>
      <c r="C40" s="2">
        <f t="shared" si="0"/>
        <v>4700.6422591128994</v>
      </c>
      <c r="D40" s="2">
        <f t="shared" si="1"/>
        <v>20404.465473640001</v>
      </c>
      <c r="E40" s="2">
        <f t="shared" si="2"/>
        <v>9793.5740503659999</v>
      </c>
      <c r="F40" s="2">
        <f t="shared" si="3"/>
        <v>129.34244440072933</v>
      </c>
      <c r="G40" s="2">
        <f t="shared" si="4"/>
        <v>16729.46792355576</v>
      </c>
      <c r="H40" s="2">
        <f t="shared" si="5"/>
        <v>13.501755599270666</v>
      </c>
      <c r="I40" s="8">
        <f t="shared" si="6"/>
        <v>182.29740426243677</v>
      </c>
      <c r="K40" s="44">
        <f>L39</f>
        <v>105.25598666666667</v>
      </c>
      <c r="L40" s="45">
        <f t="shared" ref="L40:L47" si="12">K40+$T$2</f>
        <v>112.20937333333335</v>
      </c>
      <c r="M40" s="35">
        <f t="shared" ref="M40:M47" si="13">(K40+L40)/2</f>
        <v>108.73268000000002</v>
      </c>
      <c r="N40" s="25">
        <f t="shared" ref="N40:N47" si="14">COUNTIFS($A$2:$A$201, "&gt;=" &amp;N$36,  $A$2:$A$201, "&lt;" &amp;N$37, $B$2:$B$201,  "&gt;=" &amp;$K40, $B$2:$B$201, "&lt;"&amp;$L40)</f>
        <v>2</v>
      </c>
      <c r="O40" s="2">
        <f t="shared" si="10"/>
        <v>1</v>
      </c>
      <c r="P40" s="2">
        <f t="shared" si="10"/>
        <v>1</v>
      </c>
      <c r="Q40" s="2">
        <f t="shared" si="10"/>
        <v>5</v>
      </c>
      <c r="R40" s="2">
        <f t="shared" si="10"/>
        <v>1</v>
      </c>
      <c r="S40" s="2">
        <f t="shared" si="10"/>
        <v>0</v>
      </c>
      <c r="T40" s="2">
        <f t="shared" si="10"/>
        <v>0</v>
      </c>
      <c r="U40" s="2">
        <f t="shared" si="10"/>
        <v>0</v>
      </c>
      <c r="V40" s="2">
        <f t="shared" si="10"/>
        <v>0</v>
      </c>
      <c r="W40" s="54">
        <f t="shared" si="11"/>
        <v>10</v>
      </c>
      <c r="X40" s="53">
        <f t="shared" ref="X40:X47" si="15">(N40*$N$38 + O40*$O$38+P40*$P$38+Q40*$Q$38+R40*$R$38+S40*$S$38+T40*$T$38+U40*$U$38+V40*$V$38)/W40</f>
        <v>66.199879999999993</v>
      </c>
      <c r="Y40" s="2"/>
      <c r="Z40" s="19"/>
      <c r="AA40" s="20"/>
      <c r="AB40" s="20"/>
      <c r="AC40" s="20"/>
      <c r="AD40" s="20"/>
      <c r="AE40" s="20"/>
      <c r="AF40" s="21"/>
    </row>
    <row r="41" spans="1:32" x14ac:dyDescent="0.35">
      <c r="A41" s="7">
        <v>66.230850000000004</v>
      </c>
      <c r="B41" s="3">
        <v>110.11709999999999</v>
      </c>
      <c r="C41" s="2">
        <f t="shared" si="0"/>
        <v>4386.5254917225002</v>
      </c>
      <c r="D41" s="2">
        <f t="shared" si="1"/>
        <v>12125.775712409999</v>
      </c>
      <c r="E41" s="2">
        <f t="shared" si="2"/>
        <v>7293.1491325349998</v>
      </c>
      <c r="F41" s="2">
        <f t="shared" si="3"/>
        <v>122.8600506516848</v>
      </c>
      <c r="G41" s="2">
        <f t="shared" si="4"/>
        <v>15094.592046134556</v>
      </c>
      <c r="H41" s="2">
        <f t="shared" si="5"/>
        <v>-12.742950651684808</v>
      </c>
      <c r="I41" s="8">
        <f t="shared" si="6"/>
        <v>162.38279131127427</v>
      </c>
      <c r="K41" s="44">
        <f t="shared" ref="K41:K47" si="16">L40</f>
        <v>112.20937333333335</v>
      </c>
      <c r="L41" s="45">
        <f t="shared" si="12"/>
        <v>119.16276000000002</v>
      </c>
      <c r="M41" s="35">
        <f t="shared" si="13"/>
        <v>115.68606666666668</v>
      </c>
      <c r="N41" s="25">
        <f t="shared" si="14"/>
        <v>2</v>
      </c>
      <c r="O41" s="2">
        <f t="shared" si="10"/>
        <v>3</v>
      </c>
      <c r="P41" s="2">
        <f t="shared" si="10"/>
        <v>7</v>
      </c>
      <c r="Q41" s="2">
        <f t="shared" si="10"/>
        <v>7</v>
      </c>
      <c r="R41" s="2">
        <f t="shared" si="10"/>
        <v>9</v>
      </c>
      <c r="S41" s="2">
        <f t="shared" si="10"/>
        <v>3</v>
      </c>
      <c r="T41" s="2">
        <f t="shared" si="10"/>
        <v>0</v>
      </c>
      <c r="U41" s="2">
        <f t="shared" si="10"/>
        <v>0</v>
      </c>
      <c r="V41" s="2">
        <f t="shared" si="10"/>
        <v>0</v>
      </c>
      <c r="W41" s="54">
        <f t="shared" si="11"/>
        <v>31</v>
      </c>
      <c r="X41" s="53">
        <f t="shared" si="15"/>
        <v>67.057123297491046</v>
      </c>
      <c r="Y41" s="2"/>
      <c r="Z41" s="19"/>
      <c r="AA41" s="20"/>
      <c r="AB41" s="20"/>
      <c r="AC41" s="20"/>
      <c r="AD41" s="20"/>
      <c r="AE41" s="20"/>
      <c r="AF41" s="21"/>
    </row>
    <row r="42" spans="1:32" x14ac:dyDescent="0.35">
      <c r="A42" s="7">
        <v>68.950990000000004</v>
      </c>
      <c r="B42" s="3">
        <v>122.0958</v>
      </c>
      <c r="C42" s="2">
        <f t="shared" si="0"/>
        <v>4754.2390219801009</v>
      </c>
      <c r="D42" s="2">
        <f t="shared" si="1"/>
        <v>14907.384377639999</v>
      </c>
      <c r="E42" s="2">
        <f t="shared" si="2"/>
        <v>8418.626284842001</v>
      </c>
      <c r="F42" s="2">
        <f t="shared" si="3"/>
        <v>130.42663572902239</v>
      </c>
      <c r="G42" s="2">
        <f t="shared" si="4"/>
        <v>17011.107307591101</v>
      </c>
      <c r="H42" s="2">
        <f t="shared" si="5"/>
        <v>-8.3308357290223967</v>
      </c>
      <c r="I42" s="8">
        <f t="shared" si="6"/>
        <v>69.402823943956122</v>
      </c>
      <c r="K42" s="44">
        <f t="shared" si="16"/>
        <v>119.16276000000002</v>
      </c>
      <c r="L42" s="45">
        <f t="shared" si="12"/>
        <v>126.11614666666669</v>
      </c>
      <c r="M42" s="35">
        <f t="shared" si="13"/>
        <v>122.63945333333336</v>
      </c>
      <c r="N42" s="25">
        <f t="shared" si="14"/>
        <v>0</v>
      </c>
      <c r="O42" s="2">
        <f t="shared" si="10"/>
        <v>3</v>
      </c>
      <c r="P42" s="2">
        <f t="shared" si="10"/>
        <v>3</v>
      </c>
      <c r="Q42" s="2">
        <f t="shared" si="10"/>
        <v>14</v>
      </c>
      <c r="R42" s="2">
        <f t="shared" si="10"/>
        <v>10</v>
      </c>
      <c r="S42" s="2">
        <f t="shared" si="10"/>
        <v>9</v>
      </c>
      <c r="T42" s="2">
        <f t="shared" si="10"/>
        <v>1</v>
      </c>
      <c r="U42" s="2">
        <f t="shared" si="10"/>
        <v>0</v>
      </c>
      <c r="V42" s="2">
        <f t="shared" si="10"/>
        <v>0</v>
      </c>
      <c r="W42" s="54">
        <f t="shared" si="11"/>
        <v>40</v>
      </c>
      <c r="X42" s="53">
        <f t="shared" si="15"/>
        <v>67.924669999999992</v>
      </c>
      <c r="Y42" s="2"/>
      <c r="Z42" s="19"/>
      <c r="AA42" s="20"/>
      <c r="AB42" s="20"/>
      <c r="AC42" s="20"/>
      <c r="AD42" s="20"/>
      <c r="AE42" s="20"/>
      <c r="AF42" s="21"/>
    </row>
    <row r="43" spans="1:32" x14ac:dyDescent="0.35">
      <c r="A43" s="7">
        <v>67.867609999999999</v>
      </c>
      <c r="B43" s="3">
        <v>124.8188</v>
      </c>
      <c r="C43" s="2">
        <f t="shared" si="0"/>
        <v>4606.0124871120997</v>
      </c>
      <c r="D43" s="2">
        <f t="shared" si="1"/>
        <v>15579.732833439999</v>
      </c>
      <c r="E43" s="2">
        <f t="shared" si="2"/>
        <v>8471.1536390679994</v>
      </c>
      <c r="F43" s="2">
        <f t="shared" si="3"/>
        <v>127.41300887853454</v>
      </c>
      <c r="G43" s="2">
        <f t="shared" si="4"/>
        <v>16234.074831481521</v>
      </c>
      <c r="H43" s="2">
        <f t="shared" si="5"/>
        <v>-2.5942088785345447</v>
      </c>
      <c r="I43" s="8">
        <f t="shared" si="6"/>
        <v>6.7299197054674602</v>
      </c>
      <c r="K43" s="44">
        <f t="shared" si="16"/>
        <v>126.11614666666669</v>
      </c>
      <c r="L43" s="45">
        <f t="shared" si="12"/>
        <v>133.06953333333337</v>
      </c>
      <c r="M43" s="35">
        <f t="shared" si="13"/>
        <v>129.59284000000002</v>
      </c>
      <c r="N43" s="25">
        <f t="shared" si="14"/>
        <v>1</v>
      </c>
      <c r="O43" s="2">
        <f t="shared" si="10"/>
        <v>4</v>
      </c>
      <c r="P43" s="2">
        <f t="shared" si="10"/>
        <v>7</v>
      </c>
      <c r="Q43" s="2">
        <f t="shared" si="10"/>
        <v>13</v>
      </c>
      <c r="R43" s="2">
        <f t="shared" si="10"/>
        <v>13</v>
      </c>
      <c r="S43" s="2">
        <f t="shared" si="10"/>
        <v>9</v>
      </c>
      <c r="T43" s="2">
        <f t="shared" si="10"/>
        <v>2</v>
      </c>
      <c r="U43" s="2">
        <f t="shared" si="10"/>
        <v>0</v>
      </c>
      <c r="V43" s="2">
        <f t="shared" si="10"/>
        <v>0</v>
      </c>
      <c r="W43" s="54">
        <f t="shared" si="11"/>
        <v>49</v>
      </c>
      <c r="X43" s="53">
        <f t="shared" si="15"/>
        <v>67.717382312925167</v>
      </c>
      <c r="Y43" s="2"/>
      <c r="Z43" s="19"/>
      <c r="AA43" s="20"/>
      <c r="AB43" s="20"/>
      <c r="AC43" s="20"/>
      <c r="AD43" s="20"/>
      <c r="AE43" s="20"/>
      <c r="AF43" s="21"/>
    </row>
    <row r="44" spans="1:32" x14ac:dyDescent="0.35">
      <c r="A44" s="7">
        <v>68.05498</v>
      </c>
      <c r="B44" s="3">
        <v>119.3169</v>
      </c>
      <c r="C44" s="2">
        <f t="shared" si="0"/>
        <v>4631.4803028003998</v>
      </c>
      <c r="D44" s="2">
        <f t="shared" si="1"/>
        <v>14236.522625610001</v>
      </c>
      <c r="E44" s="2">
        <f t="shared" si="2"/>
        <v>8120.109243162</v>
      </c>
      <c r="F44" s="2">
        <f t="shared" si="3"/>
        <v>127.93421405398168</v>
      </c>
      <c r="G44" s="2">
        <f t="shared" si="4"/>
        <v>16367.163125610003</v>
      </c>
      <c r="H44" s="2">
        <f t="shared" si="5"/>
        <v>-8.6173140539816728</v>
      </c>
      <c r="I44" s="8">
        <f t="shared" si="6"/>
        <v>74.258101504950048</v>
      </c>
      <c r="K44" s="44">
        <f t="shared" si="16"/>
        <v>133.06953333333337</v>
      </c>
      <c r="L44" s="45">
        <f t="shared" si="12"/>
        <v>140.02292000000003</v>
      </c>
      <c r="M44" s="35">
        <f t="shared" si="13"/>
        <v>136.54622666666671</v>
      </c>
      <c r="N44" s="25">
        <f t="shared" si="14"/>
        <v>0</v>
      </c>
      <c r="O44" s="2">
        <f t="shared" si="10"/>
        <v>0</v>
      </c>
      <c r="P44" s="2">
        <f t="shared" si="10"/>
        <v>5</v>
      </c>
      <c r="Q44" s="2">
        <f t="shared" si="10"/>
        <v>4</v>
      </c>
      <c r="R44" s="2">
        <f t="shared" si="10"/>
        <v>14</v>
      </c>
      <c r="S44" s="2">
        <f t="shared" si="10"/>
        <v>11</v>
      </c>
      <c r="T44" s="2">
        <f t="shared" si="10"/>
        <v>5</v>
      </c>
      <c r="U44" s="2">
        <f t="shared" si="10"/>
        <v>2</v>
      </c>
      <c r="V44" s="2">
        <f t="shared" si="10"/>
        <v>0</v>
      </c>
      <c r="W44" s="54">
        <f t="shared" si="11"/>
        <v>41</v>
      </c>
      <c r="X44" s="53">
        <f t="shared" si="15"/>
        <v>68.904699728997301</v>
      </c>
      <c r="Y44" s="2"/>
      <c r="Z44" s="22"/>
      <c r="AA44" s="23"/>
      <c r="AB44" s="23"/>
      <c r="AC44" s="23"/>
      <c r="AD44" s="23"/>
      <c r="AE44" s="23"/>
      <c r="AF44" s="24"/>
    </row>
    <row r="45" spans="1:32" x14ac:dyDescent="0.35">
      <c r="A45" s="7">
        <v>67.739859999999993</v>
      </c>
      <c r="B45" s="3">
        <v>132.4571</v>
      </c>
      <c r="C45" s="2">
        <f t="shared" si="0"/>
        <v>4588.6886328195988</v>
      </c>
      <c r="D45" s="2">
        <f t="shared" si="1"/>
        <v>17544.883340410001</v>
      </c>
      <c r="E45" s="2">
        <f t="shared" si="2"/>
        <v>8972.6254100059996</v>
      </c>
      <c r="F45" s="2">
        <f t="shared" si="3"/>
        <v>127.05764803547869</v>
      </c>
      <c r="G45" s="2">
        <f t="shared" si="4"/>
        <v>16143.645924307582</v>
      </c>
      <c r="H45" s="2">
        <f t="shared" si="5"/>
        <v>5.3994519645213046</v>
      </c>
      <c r="I45" s="8">
        <f t="shared" si="6"/>
        <v>29.154081517172976</v>
      </c>
      <c r="K45" s="44">
        <f t="shared" si="16"/>
        <v>140.02292000000003</v>
      </c>
      <c r="L45" s="45">
        <f t="shared" si="12"/>
        <v>146.97630666666669</v>
      </c>
      <c r="M45" s="35">
        <f t="shared" si="13"/>
        <v>143.49961333333334</v>
      </c>
      <c r="N45" s="25">
        <f t="shared" si="14"/>
        <v>0</v>
      </c>
      <c r="O45" s="2">
        <f t="shared" si="10"/>
        <v>0</v>
      </c>
      <c r="P45" s="2">
        <f t="shared" si="10"/>
        <v>2</v>
      </c>
      <c r="Q45" s="2">
        <f t="shared" si="10"/>
        <v>2</v>
      </c>
      <c r="R45" s="2">
        <f t="shared" si="10"/>
        <v>3</v>
      </c>
      <c r="S45" s="2">
        <f t="shared" si="10"/>
        <v>7</v>
      </c>
      <c r="T45" s="2">
        <f t="shared" si="10"/>
        <v>2</v>
      </c>
      <c r="U45" s="2">
        <f t="shared" si="10"/>
        <v>1</v>
      </c>
      <c r="V45" s="2">
        <f t="shared" si="10"/>
        <v>0</v>
      </c>
      <c r="W45" s="54">
        <f t="shared" si="11"/>
        <v>17</v>
      </c>
      <c r="X45" s="53">
        <f t="shared" si="15"/>
        <v>69.100833986928109</v>
      </c>
      <c r="Y45" s="2"/>
    </row>
    <row r="46" spans="1:32" x14ac:dyDescent="0.35">
      <c r="A46" s="7">
        <v>69.836410000000001</v>
      </c>
      <c r="B46" s="3">
        <v>133.0316</v>
      </c>
      <c r="C46" s="2">
        <f t="shared" si="0"/>
        <v>4877.1241616880998</v>
      </c>
      <c r="D46" s="2">
        <f t="shared" si="1"/>
        <v>17697.406598559999</v>
      </c>
      <c r="E46" s="2">
        <f t="shared" si="2"/>
        <v>9290.4493605560001</v>
      </c>
      <c r="F46" s="2">
        <f t="shared" si="3"/>
        <v>132.88959931147633</v>
      </c>
      <c r="G46" s="2">
        <f t="shared" si="4"/>
        <v>17659.645605164729</v>
      </c>
      <c r="H46" s="2">
        <f t="shared" si="5"/>
        <v>0.14200068852366599</v>
      </c>
      <c r="I46" s="8">
        <f t="shared" si="6"/>
        <v>2.0164195541195206E-2</v>
      </c>
      <c r="K46" s="44">
        <f t="shared" si="16"/>
        <v>146.97630666666669</v>
      </c>
      <c r="L46" s="45">
        <f t="shared" si="12"/>
        <v>153.92969333333335</v>
      </c>
      <c r="M46" s="35">
        <f t="shared" si="13"/>
        <v>150.45300000000003</v>
      </c>
      <c r="N46" s="25">
        <f t="shared" si="14"/>
        <v>0</v>
      </c>
      <c r="O46" s="2">
        <f t="shared" si="10"/>
        <v>0</v>
      </c>
      <c r="P46" s="2">
        <f t="shared" si="10"/>
        <v>0</v>
      </c>
      <c r="Q46" s="2">
        <f t="shared" si="10"/>
        <v>1</v>
      </c>
      <c r="R46" s="2">
        <f t="shared" si="10"/>
        <v>3</v>
      </c>
      <c r="S46" s="2">
        <f t="shared" si="10"/>
        <v>0</v>
      </c>
      <c r="T46" s="2">
        <f t="shared" si="10"/>
        <v>0</v>
      </c>
      <c r="U46" s="2">
        <f t="shared" si="10"/>
        <v>0</v>
      </c>
      <c r="V46" s="2">
        <f t="shared" si="10"/>
        <v>1</v>
      </c>
      <c r="W46" s="54">
        <f t="shared" si="11"/>
        <v>5</v>
      </c>
      <c r="X46" s="53">
        <f t="shared" si="15"/>
        <v>69.266183333333331</v>
      </c>
      <c r="Y46" s="2"/>
    </row>
    <row r="47" spans="1:32" x14ac:dyDescent="0.35">
      <c r="A47" s="7">
        <v>70.685739999999996</v>
      </c>
      <c r="B47" s="3">
        <v>160.88310000000001</v>
      </c>
      <c r="C47" s="2">
        <f t="shared" si="0"/>
        <v>4996.4738393475991</v>
      </c>
      <c r="D47" s="2">
        <f t="shared" si="1"/>
        <v>25883.371865610003</v>
      </c>
      <c r="E47" s="2">
        <f t="shared" si="2"/>
        <v>11372.140976994</v>
      </c>
      <c r="F47" s="2">
        <f t="shared" si="3"/>
        <v>135.25217171721101</v>
      </c>
      <c r="G47" s="2">
        <f t="shared" si="4"/>
        <v>18293.149954221935</v>
      </c>
      <c r="H47" s="2">
        <f t="shared" si="5"/>
        <v>25.630928282789</v>
      </c>
      <c r="I47" s="8">
        <f t="shared" si="6"/>
        <v>656.94448463747312</v>
      </c>
      <c r="K47" s="46">
        <f t="shared" si="16"/>
        <v>153.92969333333335</v>
      </c>
      <c r="L47" s="42">
        <f>ROUNDUP(N2,3)</f>
        <v>160.88400000000001</v>
      </c>
      <c r="M47" s="35">
        <f t="shared" si="13"/>
        <v>157.4068466666667</v>
      </c>
      <c r="N47" s="25">
        <f t="shared" si="14"/>
        <v>0</v>
      </c>
      <c r="O47" s="2">
        <f t="shared" si="10"/>
        <v>0</v>
      </c>
      <c r="P47" s="2">
        <f t="shared" si="10"/>
        <v>0</v>
      </c>
      <c r="Q47" s="2">
        <f t="shared" si="10"/>
        <v>0</v>
      </c>
      <c r="R47" s="2">
        <f t="shared" si="10"/>
        <v>0</v>
      </c>
      <c r="S47" s="2">
        <f t="shared" si="10"/>
        <v>0</v>
      </c>
      <c r="T47" s="2">
        <f t="shared" si="10"/>
        <v>1</v>
      </c>
      <c r="U47" s="2">
        <f t="shared" si="10"/>
        <v>0</v>
      </c>
      <c r="V47" s="2">
        <f t="shared" si="10"/>
        <v>0</v>
      </c>
      <c r="W47" s="55">
        <f t="shared" si="11"/>
        <v>1</v>
      </c>
      <c r="X47" s="53">
        <f t="shared" si="15"/>
        <v>71.054844444444441</v>
      </c>
      <c r="Y47" s="2"/>
    </row>
    <row r="48" spans="1:32" x14ac:dyDescent="0.35">
      <c r="A48" s="7">
        <v>64.543850000000006</v>
      </c>
      <c r="B48" s="3">
        <v>119.127</v>
      </c>
      <c r="C48" s="2">
        <f t="shared" si="0"/>
        <v>4165.9085728225009</v>
      </c>
      <c r="D48" s="2">
        <f t="shared" si="1"/>
        <v>14191.242128999998</v>
      </c>
      <c r="E48" s="2">
        <f t="shared" si="2"/>
        <v>7688.9152189500001</v>
      </c>
      <c r="F48" s="2">
        <f t="shared" si="3"/>
        <v>118.16734034064619</v>
      </c>
      <c r="G48" s="2">
        <f t="shared" si="4"/>
        <v>13963.520323182109</v>
      </c>
      <c r="H48" s="2">
        <f t="shared" si="5"/>
        <v>0.95965965935380382</v>
      </c>
      <c r="I48" s="8">
        <f t="shared" si="6"/>
        <v>0.92094666179105877</v>
      </c>
      <c r="J48" s="2"/>
      <c r="K48" s="2"/>
      <c r="L48" s="2"/>
      <c r="M48" s="47" t="s">
        <v>21</v>
      </c>
      <c r="N48" s="56">
        <f t="shared" ref="N48:V48" si="17">SUM(N39:N47)</f>
        <v>6</v>
      </c>
      <c r="O48" s="56">
        <f t="shared" si="17"/>
        <v>12</v>
      </c>
      <c r="P48" s="56">
        <f t="shared" si="17"/>
        <v>28</v>
      </c>
      <c r="Q48" s="56">
        <f t="shared" si="17"/>
        <v>46</v>
      </c>
      <c r="R48" s="56">
        <f t="shared" si="17"/>
        <v>54</v>
      </c>
      <c r="S48" s="56">
        <f t="shared" si="17"/>
        <v>39</v>
      </c>
      <c r="T48" s="56">
        <f t="shared" si="17"/>
        <v>11</v>
      </c>
      <c r="U48" s="56">
        <f t="shared" si="17"/>
        <v>3</v>
      </c>
      <c r="V48" s="57">
        <f t="shared" si="17"/>
        <v>1</v>
      </c>
      <c r="W48" s="58">
        <f>SUM(W39:W47)</f>
        <v>200</v>
      </c>
      <c r="X48" s="59">
        <f>(N48*$N$38 + O48*$O$38+P48*$P$38+Q48*$Q$38+R48*$R$38+S48*$S$38+T48*$T$38+U48*$U$38+V48*$V$38)/W48</f>
        <v>67.937446472222234</v>
      </c>
      <c r="Y48" s="2"/>
    </row>
    <row r="49" spans="1:28" x14ac:dyDescent="0.35">
      <c r="A49" s="7">
        <v>67.931120000000007</v>
      </c>
      <c r="B49" s="3">
        <v>138.51599999999999</v>
      </c>
      <c r="C49" s="2">
        <f t="shared" si="0"/>
        <v>4614.6370644544013</v>
      </c>
      <c r="D49" s="2">
        <f t="shared" si="1"/>
        <v>19186.682255999996</v>
      </c>
      <c r="E49" s="2">
        <f t="shared" si="2"/>
        <v>9409.5470179200001</v>
      </c>
      <c r="F49" s="2">
        <f t="shared" si="3"/>
        <v>127.58967398336803</v>
      </c>
      <c r="G49" s="2">
        <f t="shared" si="4"/>
        <v>16279.12490718214</v>
      </c>
      <c r="H49" s="2">
        <f t="shared" si="5"/>
        <v>10.926326016631961</v>
      </c>
      <c r="I49" s="8">
        <f t="shared" si="6"/>
        <v>119.38460022172846</v>
      </c>
      <c r="J49" s="2"/>
      <c r="K49" s="2"/>
      <c r="L49" s="2"/>
      <c r="M49" s="47" t="s">
        <v>26</v>
      </c>
      <c r="N49" s="66">
        <f>(N39*$M$39+N40*$M$40+N41*$M$41+N42*$M$42+N43*$M$43+N44*$M$44+N45*$M$45+N46*$M$46+N47*$M$47)/N48</f>
        <v>113.36827111111113</v>
      </c>
      <c r="O49" s="66">
        <f t="shared" ref="O49:W49" si="18">(O39*$M$39+O40*$M$40+O41*$M$41+O42*$M$42+O43*$M$43+O44*$M$44+O45*$M$45+O46*$M$46+O47*$M$47)/O48</f>
        <v>120.32165777777782</v>
      </c>
      <c r="P49" s="66">
        <f t="shared" si="18"/>
        <v>123.88112952380955</v>
      </c>
      <c r="Q49" s="66">
        <f t="shared" si="18"/>
        <v>124.75570144927542</v>
      </c>
      <c r="R49" s="66">
        <f t="shared" si="18"/>
        <v>128.8202414814815</v>
      </c>
      <c r="S49" s="66">
        <f t="shared" si="18"/>
        <v>131.3757596581197</v>
      </c>
      <c r="T49" s="66">
        <f t="shared" si="18"/>
        <v>137.17839454545458</v>
      </c>
      <c r="U49" s="66">
        <f t="shared" si="18"/>
        <v>138.86402222222225</v>
      </c>
      <c r="V49" s="66">
        <f t="shared" si="18"/>
        <v>150.45300000000003</v>
      </c>
      <c r="W49" s="67">
        <f t="shared" si="18"/>
        <v>127.43729243333335</v>
      </c>
      <c r="X49" s="2"/>
      <c r="Y49" s="2"/>
    </row>
    <row r="50" spans="1:28" x14ac:dyDescent="0.35">
      <c r="A50" s="7">
        <v>67.772909999999996</v>
      </c>
      <c r="B50" s="3">
        <v>124.8232</v>
      </c>
      <c r="C50" s="2">
        <f t="shared" si="0"/>
        <v>4593.1673298680998</v>
      </c>
      <c r="D50" s="2">
        <f t="shared" si="1"/>
        <v>15580.831258239999</v>
      </c>
      <c r="E50" s="2">
        <f t="shared" si="2"/>
        <v>8459.6314995119992</v>
      </c>
      <c r="F50" s="2">
        <f t="shared" si="3"/>
        <v>127.14958287589356</v>
      </c>
      <c r="G50" s="2">
        <f t="shared" si="4"/>
        <v>16167.016425513724</v>
      </c>
      <c r="H50" s="2">
        <f t="shared" si="5"/>
        <v>-2.3263828758935574</v>
      </c>
      <c r="I50" s="8">
        <f t="shared" si="6"/>
        <v>5.4120572852507793</v>
      </c>
      <c r="K50" s="2"/>
      <c r="L50" s="2"/>
      <c r="M50" s="2"/>
      <c r="N50" s="2"/>
      <c r="O50" s="2"/>
      <c r="P50" s="2"/>
      <c r="Q50" s="2"/>
      <c r="R50" s="2"/>
      <c r="S50" s="2"/>
      <c r="T50" s="2"/>
      <c r="U50" s="2"/>
      <c r="V50" s="2"/>
      <c r="W50" s="2"/>
      <c r="X50" s="2"/>
      <c r="Y50" s="2"/>
    </row>
    <row r="51" spans="1:28" x14ac:dyDescent="0.35">
      <c r="A51" s="7">
        <v>69.413120000000006</v>
      </c>
      <c r="B51" s="3">
        <v>135.9744</v>
      </c>
      <c r="C51" s="2">
        <f t="shared" si="0"/>
        <v>4818.181228134401</v>
      </c>
      <c r="D51" s="2">
        <f t="shared" si="1"/>
        <v>18489.037455360001</v>
      </c>
      <c r="E51" s="2">
        <f t="shared" si="2"/>
        <v>9438.4073441280016</v>
      </c>
      <c r="F51" s="2">
        <f t="shared" si="3"/>
        <v>131.71213793177304</v>
      </c>
      <c r="G51" s="2">
        <f t="shared" si="4"/>
        <v>17348.087278558407</v>
      </c>
      <c r="H51" s="2">
        <f t="shared" si="5"/>
        <v>4.2622620682269599</v>
      </c>
      <c r="I51" s="8">
        <f t="shared" si="6"/>
        <v>18.166877938246362</v>
      </c>
      <c r="K51" s="30" t="s">
        <v>30</v>
      </c>
      <c r="L51" s="31"/>
    </row>
    <row r="52" spans="1:28" ht="14.5" customHeight="1" x14ac:dyDescent="0.35">
      <c r="A52" s="7">
        <v>67.772130000000004</v>
      </c>
      <c r="B52" s="3">
        <v>116.22539999999999</v>
      </c>
      <c r="C52" s="2">
        <f t="shared" si="0"/>
        <v>4593.0616047369003</v>
      </c>
      <c r="D52" s="2">
        <f t="shared" si="1"/>
        <v>13508.343605159998</v>
      </c>
      <c r="E52" s="2">
        <f t="shared" si="2"/>
        <v>7876.8429181020001</v>
      </c>
      <c r="F52" s="2">
        <f t="shared" si="3"/>
        <v>127.147413158026</v>
      </c>
      <c r="G52" s="2">
        <f t="shared" si="4"/>
        <v>16166.464672777764</v>
      </c>
      <c r="H52" s="2">
        <f t="shared" si="5"/>
        <v>-10.922013158026004</v>
      </c>
      <c r="I52" s="8">
        <f t="shared" si="6"/>
        <v>119.29037142409318</v>
      </c>
      <c r="K52" s="68"/>
      <c r="L52" s="69"/>
      <c r="N52" s="72" t="s">
        <v>29</v>
      </c>
      <c r="O52" s="73"/>
      <c r="P52" s="74"/>
      <c r="R52" s="82" t="s">
        <v>48</v>
      </c>
      <c r="S52" s="83"/>
      <c r="T52" s="84"/>
    </row>
    <row r="53" spans="1:28" x14ac:dyDescent="0.35">
      <c r="A53" s="7">
        <v>67.79965</v>
      </c>
      <c r="B53" s="3">
        <v>139.2002</v>
      </c>
      <c r="C53" s="2">
        <f t="shared" si="0"/>
        <v>4596.7925401225002</v>
      </c>
      <c r="D53" s="2">
        <f t="shared" si="1"/>
        <v>19376.69568004</v>
      </c>
      <c r="E53" s="2">
        <f t="shared" si="2"/>
        <v>9437.7248399299988</v>
      </c>
      <c r="F53" s="2">
        <f t="shared" si="3"/>
        <v>127.22396525509758</v>
      </c>
      <c r="G53" s="2">
        <f t="shared" si="4"/>
        <v>16185.937335230277</v>
      </c>
      <c r="H53" s="2">
        <f t="shared" si="5"/>
        <v>11.976234744902413</v>
      </c>
      <c r="I53" s="8">
        <f t="shared" si="6"/>
        <v>143.43019866500777</v>
      </c>
      <c r="K53" s="68"/>
      <c r="L53" s="69"/>
      <c r="N53" s="75"/>
      <c r="O53" s="76"/>
      <c r="P53" s="77"/>
      <c r="R53" s="85" t="s">
        <v>49</v>
      </c>
      <c r="S53" s="86">
        <f>AVERAGE(G2:G201) - AVERAGE(F2:F201)^2</f>
        <v>28.173223919633529</v>
      </c>
      <c r="T53" s="87"/>
      <c r="X53" s="92"/>
    </row>
    <row r="54" spans="1:28" x14ac:dyDescent="0.35">
      <c r="A54" s="7">
        <v>67.983130000000003</v>
      </c>
      <c r="B54" s="3">
        <v>137.983</v>
      </c>
      <c r="C54" s="2">
        <f t="shared" si="0"/>
        <v>4621.7059645969002</v>
      </c>
      <c r="D54" s="2">
        <f t="shared" si="1"/>
        <v>19039.308289000001</v>
      </c>
      <c r="E54" s="2">
        <f t="shared" si="2"/>
        <v>9380.5162267900014</v>
      </c>
      <c r="F54" s="2">
        <f t="shared" si="3"/>
        <v>127.73434965810254</v>
      </c>
      <c r="G54" s="2">
        <f t="shared" si="4"/>
        <v>16316.064082578401</v>
      </c>
      <c r="H54" s="2">
        <f t="shared" si="5"/>
        <v>10.248650341897459</v>
      </c>
      <c r="I54" s="8">
        <f t="shared" si="6"/>
        <v>105.03483383047491</v>
      </c>
      <c r="K54" s="70" t="s">
        <v>27</v>
      </c>
      <c r="L54" s="71" t="s">
        <v>28</v>
      </c>
    </row>
    <row r="55" spans="1:28" x14ac:dyDescent="0.35">
      <c r="A55" s="7">
        <v>69.979830000000007</v>
      </c>
      <c r="B55" s="3">
        <v>144.50839999999999</v>
      </c>
      <c r="C55" s="2">
        <f t="shared" si="0"/>
        <v>4897.1766068289007</v>
      </c>
      <c r="D55" s="2">
        <f t="shared" si="1"/>
        <v>20882.677670559999</v>
      </c>
      <c r="E55" s="2">
        <f t="shared" si="2"/>
        <v>10112.673265572001</v>
      </c>
      <c r="F55" s="2">
        <f t="shared" si="3"/>
        <v>133.28854923015399</v>
      </c>
      <c r="G55" s="2">
        <f t="shared" si="4"/>
        <v>17765.837355879183</v>
      </c>
      <c r="H55" s="2">
        <f t="shared" si="5"/>
        <v>11.219850769846005</v>
      </c>
      <c r="I55" s="8">
        <f t="shared" si="6"/>
        <v>125.88505129761398</v>
      </c>
      <c r="K55" s="14">
        <f>(Q5-K5*L5)/O5</f>
        <v>2.7816895738225269</v>
      </c>
      <c r="L55" s="12">
        <f>L5-K5*K55</f>
        <v>-61.373614258718916</v>
      </c>
      <c r="N55" s="79" t="s">
        <v>38</v>
      </c>
      <c r="O55" s="79"/>
      <c r="P55" s="79"/>
      <c r="R55" s="82" t="s">
        <v>50</v>
      </c>
      <c r="S55" s="83"/>
      <c r="T55" s="84"/>
    </row>
    <row r="56" spans="1:28" x14ac:dyDescent="0.35">
      <c r="A56" s="7">
        <v>63.832610000000003</v>
      </c>
      <c r="B56" s="3">
        <v>109.1938</v>
      </c>
      <c r="C56" s="2">
        <f t="shared" si="0"/>
        <v>4074.6020994121004</v>
      </c>
      <c r="D56" s="2">
        <f t="shared" si="1"/>
        <v>11923.285958439999</v>
      </c>
      <c r="E56" s="2">
        <f t="shared" si="2"/>
        <v>6970.1252498180002</v>
      </c>
      <c r="F56" s="2">
        <f t="shared" si="3"/>
        <v>116.18889144816065</v>
      </c>
      <c r="G56" s="2">
        <f t="shared" si="4"/>
        <v>13499.858495952458</v>
      </c>
      <c r="H56" s="2">
        <f t="shared" si="5"/>
        <v>-6.9950914481606503</v>
      </c>
      <c r="I56" s="8">
        <f t="shared" si="6"/>
        <v>48.931304368130263</v>
      </c>
      <c r="N56" s="79" t="s">
        <v>39</v>
      </c>
      <c r="O56" s="79"/>
      <c r="P56" s="79"/>
      <c r="R56" s="88" t="s">
        <v>51</v>
      </c>
      <c r="S56" s="86">
        <f>AVERAGE(I2:I201) - AVERAGE(H2:H201)^2</f>
        <v>90.093909204309881</v>
      </c>
      <c r="T56" s="87"/>
    </row>
    <row r="57" spans="1:28" x14ac:dyDescent="0.35">
      <c r="A57" s="7">
        <v>65.572119999999998</v>
      </c>
      <c r="B57" s="3">
        <v>127.22799999999999</v>
      </c>
      <c r="C57" s="2">
        <f t="shared" si="0"/>
        <v>4299.7029212943999</v>
      </c>
      <c r="D57" s="2">
        <f t="shared" si="1"/>
        <v>16186.963983999998</v>
      </c>
      <c r="E57" s="2">
        <f t="shared" si="2"/>
        <v>8342.6096833599986</v>
      </c>
      <c r="F57" s="2">
        <f t="shared" si="3"/>
        <v>121.02766827872067</v>
      </c>
      <c r="G57" s="2">
        <f t="shared" si="4"/>
        <v>14647.696488984049</v>
      </c>
      <c r="H57" s="2">
        <f t="shared" si="5"/>
        <v>6.2003317212793263</v>
      </c>
      <c r="I57" s="8">
        <f t="shared" si="6"/>
        <v>38.444113453902652</v>
      </c>
    </row>
    <row r="58" spans="1:28" ht="14.5" customHeight="1" x14ac:dyDescent="0.35">
      <c r="A58" s="7">
        <v>69.343069999999997</v>
      </c>
      <c r="B58" s="3">
        <v>124.5517</v>
      </c>
      <c r="C58" s="2">
        <f t="shared" si="0"/>
        <v>4808.4613570248994</v>
      </c>
      <c r="D58" s="2">
        <f t="shared" si="1"/>
        <v>15513.125972889999</v>
      </c>
      <c r="E58" s="2">
        <f t="shared" si="2"/>
        <v>8636.7972517189992</v>
      </c>
      <c r="F58" s="2">
        <f t="shared" si="3"/>
        <v>131.51728057712671</v>
      </c>
      <c r="G58" s="2">
        <f t="shared" si="4"/>
        <v>17296.795090402673</v>
      </c>
      <c r="H58" s="2">
        <f t="shared" si="5"/>
        <v>-6.9655805771267154</v>
      </c>
      <c r="I58" s="8">
        <f t="shared" si="6"/>
        <v>48.519312776444949</v>
      </c>
      <c r="R58" s="30" t="s">
        <v>53</v>
      </c>
      <c r="S58" s="89"/>
      <c r="T58" s="31"/>
      <c r="V58" s="28" t="s">
        <v>54</v>
      </c>
      <c r="W58" s="93"/>
      <c r="X58" s="93"/>
      <c r="Y58" s="93"/>
      <c r="Z58" s="93"/>
      <c r="AA58" s="93"/>
      <c r="AB58" s="29"/>
    </row>
    <row r="59" spans="1:28" x14ac:dyDescent="0.35">
      <c r="A59" s="7">
        <v>67.28398</v>
      </c>
      <c r="B59" s="3">
        <v>114.926</v>
      </c>
      <c r="C59" s="2">
        <f t="shared" si="0"/>
        <v>4527.1339646404003</v>
      </c>
      <c r="D59" s="2">
        <f t="shared" si="1"/>
        <v>13207.985476</v>
      </c>
      <c r="E59" s="2">
        <f t="shared" si="2"/>
        <v>7732.6786854800002</v>
      </c>
      <c r="F59" s="2">
        <f t="shared" si="3"/>
        <v>125.78953139256451</v>
      </c>
      <c r="G59" s="2">
        <f t="shared" si="4"/>
        <v>15823.006207960972</v>
      </c>
      <c r="H59" s="2">
        <f t="shared" si="5"/>
        <v>-10.863531392564511</v>
      </c>
      <c r="I59" s="8">
        <f t="shared" si="6"/>
        <v>118.01631431723462</v>
      </c>
      <c r="R59" s="68"/>
      <c r="S59" s="32"/>
      <c r="T59" s="69"/>
      <c r="V59" s="94"/>
      <c r="W59" s="95"/>
      <c r="X59" s="95"/>
      <c r="Y59" s="95"/>
      <c r="Z59" s="95"/>
      <c r="AA59" s="95"/>
      <c r="AB59" s="96"/>
    </row>
    <row r="60" spans="1:28" x14ac:dyDescent="0.35">
      <c r="A60" s="7">
        <v>68.743499999999997</v>
      </c>
      <c r="B60" s="3">
        <v>132.5027</v>
      </c>
      <c r="C60" s="2">
        <f t="shared" si="0"/>
        <v>4725.6687922499996</v>
      </c>
      <c r="D60" s="2">
        <f t="shared" si="1"/>
        <v>17556.965507290002</v>
      </c>
      <c r="E60" s="2">
        <f t="shared" si="2"/>
        <v>9108.6993574499993</v>
      </c>
      <c r="F60" s="2">
        <f t="shared" si="3"/>
        <v>129.84946295934998</v>
      </c>
      <c r="G60" s="2">
        <f t="shared" si="4"/>
        <v>16860.883030831603</v>
      </c>
      <c r="H60" s="2">
        <f t="shared" si="5"/>
        <v>2.6532370406500263</v>
      </c>
      <c r="I60" s="8">
        <f t="shared" si="6"/>
        <v>7.0396667938773092</v>
      </c>
      <c r="R60" s="88" t="s">
        <v>52</v>
      </c>
      <c r="S60" s="86">
        <f>S53/P5</f>
        <v>0.2382168500703426</v>
      </c>
      <c r="T60" s="87"/>
      <c r="V60" s="94"/>
      <c r="W60" s="95"/>
      <c r="X60" s="95"/>
      <c r="Y60" s="95"/>
      <c r="Z60" s="95"/>
      <c r="AA60" s="95"/>
      <c r="AB60" s="96"/>
    </row>
    <row r="61" spans="1:28" x14ac:dyDescent="0.35">
      <c r="A61" s="7">
        <v>69.031120000000001</v>
      </c>
      <c r="B61" s="3">
        <v>125.3892</v>
      </c>
      <c r="C61" s="2">
        <f t="shared" si="0"/>
        <v>4765.2955284544005</v>
      </c>
      <c r="D61" s="2">
        <f t="shared" si="1"/>
        <v>15722.451476640001</v>
      </c>
      <c r="E61" s="2">
        <f t="shared" si="2"/>
        <v>8655.7569119039999</v>
      </c>
      <c r="F61" s="2">
        <f t="shared" si="3"/>
        <v>130.6495325145728</v>
      </c>
      <c r="G61" s="2">
        <f t="shared" si="4"/>
        <v>17069.300346276414</v>
      </c>
      <c r="H61" s="2">
        <f t="shared" si="5"/>
        <v>-5.260332514572795</v>
      </c>
      <c r="I61" s="8">
        <f t="shared" si="6"/>
        <v>27.671098163871743</v>
      </c>
      <c r="S61" s="90">
        <f>S60</f>
        <v>0.2382168500703426</v>
      </c>
      <c r="T61" s="91"/>
      <c r="V61" s="94"/>
      <c r="W61" s="95"/>
      <c r="X61" s="95"/>
      <c r="Y61" s="95"/>
      <c r="Z61" s="95"/>
      <c r="AA61" s="95"/>
      <c r="AB61" s="96"/>
    </row>
    <row r="62" spans="1:28" x14ac:dyDescent="0.35">
      <c r="A62" s="7">
        <v>69.644260000000003</v>
      </c>
      <c r="B62" s="3">
        <v>128.49879999999999</v>
      </c>
      <c r="C62" s="2">
        <f t="shared" si="0"/>
        <v>4850.3229509476005</v>
      </c>
      <c r="D62" s="2">
        <f t="shared" si="1"/>
        <v>16511.941601439998</v>
      </c>
      <c r="E62" s="2">
        <f t="shared" si="2"/>
        <v>8949.2038368880003</v>
      </c>
      <c r="F62" s="2">
        <f t="shared" si="3"/>
        <v>132.35509765986637</v>
      </c>
      <c r="G62" s="2">
        <f t="shared" si="4"/>
        <v>17517.871876552766</v>
      </c>
      <c r="H62" s="2">
        <f t="shared" si="5"/>
        <v>-3.8562976598663852</v>
      </c>
      <c r="I62" s="8">
        <f t="shared" si="6"/>
        <v>14.871031641490958</v>
      </c>
      <c r="V62" s="26" t="s">
        <v>55</v>
      </c>
      <c r="W62" s="78"/>
      <c r="X62" s="78"/>
      <c r="Y62" s="78"/>
      <c r="Z62" s="78"/>
      <c r="AA62" s="78"/>
      <c r="AB62" s="27"/>
    </row>
    <row r="63" spans="1:28" x14ac:dyDescent="0.35">
      <c r="A63" s="7">
        <v>66.700519999999997</v>
      </c>
      <c r="B63" s="3">
        <v>117.7319</v>
      </c>
      <c r="C63" s="2">
        <f t="shared" si="0"/>
        <v>4448.9593682703999</v>
      </c>
      <c r="D63" s="2">
        <f t="shared" si="1"/>
        <v>13860.800277609998</v>
      </c>
      <c r="E63" s="2">
        <f t="shared" si="2"/>
        <v>7852.7789505879991</v>
      </c>
      <c r="F63" s="2">
        <f t="shared" si="3"/>
        <v>124.166526793822</v>
      </c>
      <c r="G63" s="2">
        <f t="shared" si="4"/>
        <v>15417.326376040917</v>
      </c>
      <c r="H63" s="2">
        <f t="shared" si="5"/>
        <v>-6.4346267938220052</v>
      </c>
      <c r="I63" s="8">
        <f t="shared" si="6"/>
        <v>41.40442197577206</v>
      </c>
    </row>
    <row r="64" spans="1:28" x14ac:dyDescent="0.35">
      <c r="A64" s="7">
        <v>67.914299999999997</v>
      </c>
      <c r="B64" s="3">
        <v>112.95310000000001</v>
      </c>
      <c r="C64" s="2">
        <f t="shared" si="0"/>
        <v>4612.3521444899998</v>
      </c>
      <c r="D64" s="2">
        <f t="shared" si="1"/>
        <v>12758.402799610001</v>
      </c>
      <c r="E64" s="2">
        <f t="shared" si="2"/>
        <v>7671.1307193299999</v>
      </c>
      <c r="F64" s="2">
        <f t="shared" si="3"/>
        <v>127.54288596473633</v>
      </c>
      <c r="G64" s="2">
        <f t="shared" si="4"/>
        <v>16267.187760213736</v>
      </c>
      <c r="H64" s="2">
        <f t="shared" si="5"/>
        <v>-14.589785964736322</v>
      </c>
      <c r="I64" s="8">
        <f t="shared" si="6"/>
        <v>212.86185449681696</v>
      </c>
    </row>
    <row r="65" spans="1:9" x14ac:dyDescent="0.35">
      <c r="A65" s="7">
        <v>64.368489999999994</v>
      </c>
      <c r="B65" s="3">
        <v>126.1835</v>
      </c>
      <c r="C65" s="2">
        <f t="shared" si="0"/>
        <v>4143.3025048800991</v>
      </c>
      <c r="D65" s="2">
        <f t="shared" si="1"/>
        <v>15922.275672249998</v>
      </c>
      <c r="E65" s="2">
        <f t="shared" si="2"/>
        <v>8122.2413579149988</v>
      </c>
      <c r="F65" s="2">
        <f t="shared" si="3"/>
        <v>117.67954325698066</v>
      </c>
      <c r="G65" s="2">
        <f t="shared" si="4"/>
        <v>13848.474901171583</v>
      </c>
      <c r="H65" s="2">
        <f t="shared" si="5"/>
        <v>8.5039567430193301</v>
      </c>
      <c r="I65" s="8">
        <f t="shared" si="6"/>
        <v>72.31728028714393</v>
      </c>
    </row>
    <row r="66" spans="1:9" x14ac:dyDescent="0.35">
      <c r="A66" s="7">
        <v>65.875069999999994</v>
      </c>
      <c r="B66" s="3">
        <v>118.79340000000001</v>
      </c>
      <c r="C66" s="2">
        <f t="shared" si="0"/>
        <v>4339.5248475048993</v>
      </c>
      <c r="D66" s="2">
        <f t="shared" si="1"/>
        <v>14111.871883560001</v>
      </c>
      <c r="E66" s="2">
        <f t="shared" si="2"/>
        <v>7825.5235405379999</v>
      </c>
      <c r="F66" s="2">
        <f t="shared" si="3"/>
        <v>121.87038113511021</v>
      </c>
      <c r="G66" s="2">
        <f t="shared" si="4"/>
        <v>14852.389798017026</v>
      </c>
      <c r="H66" s="2">
        <f t="shared" si="5"/>
        <v>-3.0769811351102021</v>
      </c>
      <c r="I66" s="8">
        <f t="shared" si="6"/>
        <v>9.4678129058240685</v>
      </c>
    </row>
    <row r="67" spans="1:9" x14ac:dyDescent="0.35">
      <c r="A67" s="7">
        <v>67.074269999999999</v>
      </c>
      <c r="B67" s="3">
        <v>125.4388</v>
      </c>
      <c r="C67" s="2">
        <f t="shared" ref="C67:C130" si="19">A67^2</f>
        <v>4498.9576960328995</v>
      </c>
      <c r="D67" s="2">
        <f t="shared" ref="D67:D130" si="20">B67^2</f>
        <v>15734.89254544</v>
      </c>
      <c r="E67" s="2">
        <f t="shared" ref="E67:E130" si="21">A67*B67</f>
        <v>8413.7159396759998</v>
      </c>
      <c r="F67" s="2">
        <f t="shared" ref="F67:F130" si="22" xml:space="preserve"> $K$55 * A67 + $L$55</f>
        <v>125.20618327203819</v>
      </c>
      <c r="G67" s="2">
        <f t="shared" ref="G67:G130" si="23">F67^2</f>
        <v>15676.588329551216</v>
      </c>
      <c r="H67" s="2">
        <f t="shared" ref="H67:H130" si="24">B67-F67</f>
        <v>0.23261672796181188</v>
      </c>
      <c r="I67" s="8">
        <f t="shared" ref="I67:I130" si="25">H67^2</f>
        <v>5.4110542127659589E-2</v>
      </c>
    </row>
    <row r="68" spans="1:9" x14ac:dyDescent="0.35">
      <c r="A68" s="7">
        <v>69.34545</v>
      </c>
      <c r="B68" s="3">
        <v>124.9451</v>
      </c>
      <c r="C68" s="2">
        <f t="shared" si="19"/>
        <v>4808.7914357025002</v>
      </c>
      <c r="D68" s="2">
        <f t="shared" si="20"/>
        <v>15611.278014009999</v>
      </c>
      <c r="E68" s="2">
        <f t="shared" si="21"/>
        <v>8664.3741847950005</v>
      </c>
      <c r="F68" s="2">
        <f t="shared" si="22"/>
        <v>131.52390099831246</v>
      </c>
      <c r="G68" s="2">
        <f t="shared" si="23"/>
        <v>17298.536533813894</v>
      </c>
      <c r="H68" s="2">
        <f t="shared" si="24"/>
        <v>-6.5788009983124596</v>
      </c>
      <c r="I68" s="8">
        <f t="shared" si="25"/>
        <v>43.280622575397018</v>
      </c>
    </row>
    <row r="69" spans="1:9" x14ac:dyDescent="0.35">
      <c r="A69" s="7">
        <v>69.832120000000003</v>
      </c>
      <c r="B69" s="3">
        <v>145.51390000000001</v>
      </c>
      <c r="C69" s="2">
        <f t="shared" si="19"/>
        <v>4876.5249836944004</v>
      </c>
      <c r="D69" s="2">
        <f t="shared" si="20"/>
        <v>21174.295093210003</v>
      </c>
      <c r="E69" s="2">
        <f t="shared" si="21"/>
        <v>10161.544126468001</v>
      </c>
      <c r="F69" s="2">
        <f t="shared" si="22"/>
        <v>132.87766586320464</v>
      </c>
      <c r="G69" s="2">
        <f t="shared" si="23"/>
        <v>17656.47408525346</v>
      </c>
      <c r="H69" s="2">
        <f t="shared" si="24"/>
        <v>12.636234136795366</v>
      </c>
      <c r="I69" s="8">
        <f t="shared" si="25"/>
        <v>159.67441315991252</v>
      </c>
    </row>
    <row r="70" spans="1:9" x14ac:dyDescent="0.35">
      <c r="A70" s="7">
        <v>66.102450000000005</v>
      </c>
      <c r="B70" s="3">
        <v>116.78360000000001</v>
      </c>
      <c r="C70" s="2">
        <f t="shared" si="19"/>
        <v>4369.533896002501</v>
      </c>
      <c r="D70" s="2">
        <f t="shared" si="20"/>
        <v>13638.409228960001</v>
      </c>
      <c r="E70" s="2">
        <f t="shared" si="21"/>
        <v>7719.6820798200006</v>
      </c>
      <c r="F70" s="2">
        <f t="shared" si="22"/>
        <v>122.50288171040599</v>
      </c>
      <c r="G70" s="2">
        <f t="shared" si="23"/>
        <v>15006.956027353721</v>
      </c>
      <c r="H70" s="2">
        <f t="shared" si="24"/>
        <v>-5.7192817104059799</v>
      </c>
      <c r="I70" s="8">
        <f t="shared" si="25"/>
        <v>32.710183282984353</v>
      </c>
    </row>
    <row r="71" spans="1:9" x14ac:dyDescent="0.35">
      <c r="A71" s="7">
        <v>69.262050000000002</v>
      </c>
      <c r="B71" s="3">
        <v>132.52160000000001</v>
      </c>
      <c r="C71" s="2">
        <f t="shared" si="19"/>
        <v>4797.2315702025007</v>
      </c>
      <c r="D71" s="2">
        <f t="shared" si="20"/>
        <v>17561.974466560001</v>
      </c>
      <c r="E71" s="2">
        <f t="shared" si="21"/>
        <v>9178.7176852800003</v>
      </c>
      <c r="F71" s="2">
        <f t="shared" si="22"/>
        <v>131.29190808785563</v>
      </c>
      <c r="G71" s="2">
        <f t="shared" si="23"/>
        <v>17237.565129349932</v>
      </c>
      <c r="H71" s="2">
        <f t="shared" si="24"/>
        <v>1.229691912144375</v>
      </c>
      <c r="I71" s="8">
        <f t="shared" si="25"/>
        <v>1.5121421987932893</v>
      </c>
    </row>
    <row r="72" spans="1:9" x14ac:dyDescent="0.35">
      <c r="A72" s="7">
        <v>68.335250000000002</v>
      </c>
      <c r="B72" s="3">
        <v>114.8933</v>
      </c>
      <c r="C72" s="2">
        <f t="shared" si="19"/>
        <v>4669.7063925625007</v>
      </c>
      <c r="D72" s="2">
        <f t="shared" si="20"/>
        <v>13200.470384889999</v>
      </c>
      <c r="E72" s="2">
        <f t="shared" si="21"/>
        <v>7851.2623788250003</v>
      </c>
      <c r="F72" s="2">
        <f t="shared" si="22"/>
        <v>128.7138381908369</v>
      </c>
      <c r="G72" s="2">
        <f t="shared" si="23"/>
        <v>16567.252141816942</v>
      </c>
      <c r="H72" s="2">
        <f t="shared" si="24"/>
        <v>-13.820538190836899</v>
      </c>
      <c r="I72" s="8">
        <f t="shared" si="25"/>
        <v>191.00727588438127</v>
      </c>
    </row>
    <row r="73" spans="1:9" x14ac:dyDescent="0.35">
      <c r="A73" s="7">
        <v>69.380170000000007</v>
      </c>
      <c r="B73" s="3">
        <v>122.85939999999999</v>
      </c>
      <c r="C73" s="2">
        <f t="shared" si="19"/>
        <v>4813.6079892289008</v>
      </c>
      <c r="D73" s="2">
        <f t="shared" si="20"/>
        <v>15094.432168359999</v>
      </c>
      <c r="E73" s="2">
        <f t="shared" si="21"/>
        <v>8524.0060580980007</v>
      </c>
      <c r="F73" s="2">
        <f t="shared" si="22"/>
        <v>131.62048126031556</v>
      </c>
      <c r="G73" s="2">
        <f t="shared" si="23"/>
        <v>17323.951087197078</v>
      </c>
      <c r="H73" s="2">
        <f t="shared" si="24"/>
        <v>-8.7610812603155637</v>
      </c>
      <c r="I73" s="8">
        <f t="shared" si="25"/>
        <v>76.756544849852546</v>
      </c>
    </row>
    <row r="74" spans="1:9" x14ac:dyDescent="0.35">
      <c r="A74" s="7">
        <v>69.128870000000006</v>
      </c>
      <c r="B74" s="3">
        <v>130.57820000000001</v>
      </c>
      <c r="C74" s="2">
        <f t="shared" si="19"/>
        <v>4778.8006674769013</v>
      </c>
      <c r="D74" s="2">
        <f t="shared" si="20"/>
        <v>17050.666315240003</v>
      </c>
      <c r="E74" s="2">
        <f t="shared" si="21"/>
        <v>9026.7234126340009</v>
      </c>
      <c r="F74" s="2">
        <f t="shared" si="22"/>
        <v>130.92144267041397</v>
      </c>
      <c r="G74" s="2">
        <f t="shared" si="23"/>
        <v>17140.424150902491</v>
      </c>
      <c r="H74" s="2">
        <f t="shared" si="24"/>
        <v>-0.34324267041395728</v>
      </c>
      <c r="I74" s="8">
        <f t="shared" si="25"/>
        <v>0.11781553079290451</v>
      </c>
    </row>
    <row r="75" spans="1:9" x14ac:dyDescent="0.35">
      <c r="A75" s="7">
        <v>68.446579999999997</v>
      </c>
      <c r="B75" s="3">
        <v>119.1058</v>
      </c>
      <c r="C75" s="2">
        <f t="shared" si="19"/>
        <v>4684.9343136963998</v>
      </c>
      <c r="D75" s="2">
        <f t="shared" si="20"/>
        <v>14186.19159364</v>
      </c>
      <c r="E75" s="2">
        <f t="shared" si="21"/>
        <v>8152.3846681639998</v>
      </c>
      <c r="F75" s="2">
        <f t="shared" si="22"/>
        <v>129.02352369109059</v>
      </c>
      <c r="G75" s="2">
        <f t="shared" si="23"/>
        <v>16647.069665665415</v>
      </c>
      <c r="H75" s="2">
        <f t="shared" si="24"/>
        <v>-9.9177236910905862</v>
      </c>
      <c r="I75" s="8">
        <f t="shared" si="25"/>
        <v>98.361243212819474</v>
      </c>
    </row>
    <row r="76" spans="1:9" x14ac:dyDescent="0.35">
      <c r="A76" s="7">
        <v>66.345420000000004</v>
      </c>
      <c r="B76" s="3">
        <v>133.82040000000001</v>
      </c>
      <c r="C76" s="2">
        <f t="shared" si="19"/>
        <v>4401.7147549764004</v>
      </c>
      <c r="D76" s="2">
        <f t="shared" si="20"/>
        <v>17907.899456160001</v>
      </c>
      <c r="E76" s="2">
        <f t="shared" si="21"/>
        <v>8878.3706425680011</v>
      </c>
      <c r="F76" s="2">
        <f t="shared" si="22"/>
        <v>123.17874882615764</v>
      </c>
      <c r="G76" s="2">
        <f t="shared" si="23"/>
        <v>15173.004162377632</v>
      </c>
      <c r="H76" s="2">
        <f t="shared" si="24"/>
        <v>10.641651173842362</v>
      </c>
      <c r="I76" s="8">
        <f t="shared" si="25"/>
        <v>113.24473970574053</v>
      </c>
    </row>
    <row r="77" spans="1:9" x14ac:dyDescent="0.35">
      <c r="A77" s="7">
        <v>70.032749999999993</v>
      </c>
      <c r="B77" s="3">
        <v>128.5779</v>
      </c>
      <c r="C77" s="2">
        <f t="shared" si="19"/>
        <v>4904.5860725624989</v>
      </c>
      <c r="D77" s="2">
        <f t="shared" si="20"/>
        <v>16532.276368409999</v>
      </c>
      <c r="E77" s="2">
        <f t="shared" si="21"/>
        <v>9004.6639262249992</v>
      </c>
      <c r="F77" s="2">
        <f t="shared" si="22"/>
        <v>133.43575624240066</v>
      </c>
      <c r="G77" s="2">
        <f t="shared" si="23"/>
        <v>17805.101043981365</v>
      </c>
      <c r="H77" s="2">
        <f t="shared" si="24"/>
        <v>-4.8578562424006577</v>
      </c>
      <c r="I77" s="8">
        <f t="shared" si="25"/>
        <v>23.598767271831036</v>
      </c>
    </row>
    <row r="78" spans="1:9" x14ac:dyDescent="0.35">
      <c r="A78" s="7">
        <v>70.165229999999994</v>
      </c>
      <c r="B78" s="3">
        <v>139.0179</v>
      </c>
      <c r="C78" s="2">
        <f t="shared" si="19"/>
        <v>4923.1595009528992</v>
      </c>
      <c r="D78" s="2">
        <f t="shared" si="20"/>
        <v>19325.97652041</v>
      </c>
      <c r="E78" s="2">
        <f t="shared" si="21"/>
        <v>9754.2229276169983</v>
      </c>
      <c r="F78" s="2">
        <f t="shared" si="22"/>
        <v>133.80427447714067</v>
      </c>
      <c r="G78" s="2">
        <f t="shared" si="23"/>
        <v>17903.583868353999</v>
      </c>
      <c r="H78" s="2">
        <f t="shared" si="24"/>
        <v>5.2136255228593313</v>
      </c>
      <c r="I78" s="8">
        <f t="shared" si="25"/>
        <v>27.181891092610236</v>
      </c>
    </row>
    <row r="79" spans="1:9" x14ac:dyDescent="0.35">
      <c r="A79" s="7">
        <v>68.183239999999998</v>
      </c>
      <c r="B79" s="3">
        <v>101.2876</v>
      </c>
      <c r="C79" s="2">
        <f t="shared" si="19"/>
        <v>4648.9542168975995</v>
      </c>
      <c r="D79" s="2">
        <f t="shared" si="20"/>
        <v>10259.177913759999</v>
      </c>
      <c r="E79" s="2">
        <f t="shared" si="21"/>
        <v>6906.1167398239995</v>
      </c>
      <c r="F79" s="2">
        <f t="shared" si="22"/>
        <v>128.29099355872017</v>
      </c>
      <c r="G79" s="2">
        <f t="shared" si="23"/>
        <v>16458.579028283581</v>
      </c>
      <c r="H79" s="2">
        <f t="shared" si="24"/>
        <v>-27.003393558720177</v>
      </c>
      <c r="I79" s="8">
        <f t="shared" si="25"/>
        <v>729.18326368713031</v>
      </c>
    </row>
    <row r="80" spans="1:9" x14ac:dyDescent="0.35">
      <c r="A80" s="7">
        <v>70.123779999999996</v>
      </c>
      <c r="B80" s="3">
        <v>140.958</v>
      </c>
      <c r="C80" s="2">
        <f t="shared" si="19"/>
        <v>4917.3445214883996</v>
      </c>
      <c r="D80" s="2">
        <f t="shared" si="20"/>
        <v>19869.157764</v>
      </c>
      <c r="E80" s="2">
        <f t="shared" si="21"/>
        <v>9884.5077812399995</v>
      </c>
      <c r="F80" s="2">
        <f t="shared" si="22"/>
        <v>133.6889734443057</v>
      </c>
      <c r="G80" s="2">
        <f t="shared" si="23"/>
        <v>17872.741620592275</v>
      </c>
      <c r="H80" s="2">
        <f t="shared" si="24"/>
        <v>7.2690265556942961</v>
      </c>
      <c r="I80" s="8">
        <f t="shared" si="25"/>
        <v>52.83874706738888</v>
      </c>
    </row>
    <row r="81" spans="1:18" x14ac:dyDescent="0.35">
      <c r="A81" s="7">
        <v>68.429599999999994</v>
      </c>
      <c r="B81" s="3">
        <v>134.6146</v>
      </c>
      <c r="C81" s="2">
        <f t="shared" si="19"/>
        <v>4682.610156159999</v>
      </c>
      <c r="D81" s="2">
        <f t="shared" si="20"/>
        <v>18121.090533160001</v>
      </c>
      <c r="E81" s="2">
        <f t="shared" si="21"/>
        <v>9211.6232321599982</v>
      </c>
      <c r="F81" s="2">
        <f t="shared" si="22"/>
        <v>128.97629060212705</v>
      </c>
      <c r="G81" s="2">
        <f t="shared" si="23"/>
        <v>16634.883537484326</v>
      </c>
      <c r="H81" s="2">
        <f t="shared" si="24"/>
        <v>5.6383093978729448</v>
      </c>
      <c r="I81" s="8">
        <f t="shared" si="25"/>
        <v>31.790532866142371</v>
      </c>
    </row>
    <row r="82" spans="1:18" x14ac:dyDescent="0.35">
      <c r="A82" s="7">
        <v>66.43974</v>
      </c>
      <c r="B82" s="3">
        <v>129.94820000000001</v>
      </c>
      <c r="C82" s="2">
        <f t="shared" si="19"/>
        <v>4414.2390512676002</v>
      </c>
      <c r="D82" s="2">
        <f t="shared" si="20"/>
        <v>16886.534683240003</v>
      </c>
      <c r="E82" s="2">
        <f t="shared" si="21"/>
        <v>8633.7246214680017</v>
      </c>
      <c r="F82" s="2">
        <f t="shared" si="22"/>
        <v>123.44111778676059</v>
      </c>
      <c r="G82" s="2">
        <f t="shared" si="23"/>
        <v>15237.7095604449</v>
      </c>
      <c r="H82" s="2">
        <f t="shared" si="24"/>
        <v>6.5070822132394284</v>
      </c>
      <c r="I82" s="8">
        <f t="shared" si="25"/>
        <v>42.342118929856937</v>
      </c>
    </row>
    <row r="83" spans="1:18" x14ac:dyDescent="0.35">
      <c r="A83" s="7">
        <v>71.727029999999999</v>
      </c>
      <c r="B83" s="3">
        <v>139.06399999999999</v>
      </c>
      <c r="C83" s="2">
        <f t="shared" si="19"/>
        <v>5144.7668326208995</v>
      </c>
      <c r="D83" s="2">
        <f t="shared" si="20"/>
        <v>19338.796095999998</v>
      </c>
      <c r="E83" s="2">
        <f t="shared" si="21"/>
        <v>9974.6476999199986</v>
      </c>
      <c r="F83" s="2">
        <f t="shared" si="22"/>
        <v>138.14871725353669</v>
      </c>
      <c r="G83" s="2">
        <f t="shared" si="23"/>
        <v>19085.068078797627</v>
      </c>
      <c r="H83" s="2">
        <f t="shared" si="24"/>
        <v>0.91528274646330487</v>
      </c>
      <c r="I83" s="8">
        <f t="shared" si="25"/>
        <v>0.83774250597341038</v>
      </c>
    </row>
    <row r="84" spans="1:18" x14ac:dyDescent="0.35">
      <c r="A84" s="7">
        <v>70.723870000000005</v>
      </c>
      <c r="B84" s="3">
        <v>135.1996</v>
      </c>
      <c r="C84" s="2">
        <f t="shared" si="19"/>
        <v>5001.865787776901</v>
      </c>
      <c r="D84" s="2">
        <f t="shared" si="20"/>
        <v>18278.931840159999</v>
      </c>
      <c r="E84" s="2">
        <f t="shared" si="21"/>
        <v>9561.8389344520001</v>
      </c>
      <c r="F84" s="2">
        <f t="shared" si="22"/>
        <v>135.35823754066087</v>
      </c>
      <c r="G84" s="2">
        <f t="shared" si="23"/>
        <v>18321.852470113972</v>
      </c>
      <c r="H84" s="2">
        <f t="shared" si="24"/>
        <v>-0.15863754066086244</v>
      </c>
      <c r="I84" s="8">
        <f t="shared" si="25"/>
        <v>2.5165869306926783E-2</v>
      </c>
    </row>
    <row r="85" spans="1:18" x14ac:dyDescent="0.35">
      <c r="A85" s="7">
        <v>68.090220000000002</v>
      </c>
      <c r="B85" s="3">
        <v>129.68199999999999</v>
      </c>
      <c r="C85" s="2">
        <f t="shared" si="19"/>
        <v>4636.2780596483999</v>
      </c>
      <c r="D85" s="2">
        <f t="shared" si="20"/>
        <v>16817.421123999997</v>
      </c>
      <c r="E85" s="2">
        <f t="shared" si="21"/>
        <v>8830.0759100399991</v>
      </c>
      <c r="F85" s="2">
        <f t="shared" si="22"/>
        <v>128.03224079456317</v>
      </c>
      <c r="G85" s="2">
        <f t="shared" si="23"/>
        <v>16392.254682877003</v>
      </c>
      <c r="H85" s="2">
        <f t="shared" si="24"/>
        <v>1.6497592054368226</v>
      </c>
      <c r="I85" s="8">
        <f t="shared" si="25"/>
        <v>2.7217054359235364</v>
      </c>
    </row>
    <row r="86" spans="1:18" x14ac:dyDescent="0.35">
      <c r="A86" s="7">
        <v>70.129760000000005</v>
      </c>
      <c r="B86" s="3">
        <v>129.1395</v>
      </c>
      <c r="C86" s="2">
        <f t="shared" si="19"/>
        <v>4918.1832376576003</v>
      </c>
      <c r="D86" s="2">
        <f t="shared" si="20"/>
        <v>16677.01046025</v>
      </c>
      <c r="E86" s="2">
        <f t="shared" si="21"/>
        <v>9056.5221415200012</v>
      </c>
      <c r="F86" s="2">
        <f t="shared" si="22"/>
        <v>133.70560794795722</v>
      </c>
      <c r="G86" s="2">
        <f t="shared" si="23"/>
        <v>17877.189596732842</v>
      </c>
      <c r="H86" s="2">
        <f t="shared" si="24"/>
        <v>-4.5661079479572209</v>
      </c>
      <c r="I86" s="8">
        <f t="shared" si="25"/>
        <v>20.849341792398103</v>
      </c>
    </row>
    <row r="87" spans="1:18" x14ac:dyDescent="0.35">
      <c r="A87" s="7">
        <v>66.053929999999994</v>
      </c>
      <c r="B87" s="3">
        <v>129.0051</v>
      </c>
      <c r="C87" s="2">
        <f t="shared" si="19"/>
        <v>4363.1216684448991</v>
      </c>
      <c r="D87" s="2">
        <f t="shared" si="20"/>
        <v>16642.315826009999</v>
      </c>
      <c r="E87" s="2">
        <f t="shared" si="21"/>
        <v>8521.2938450429992</v>
      </c>
      <c r="F87" s="2">
        <f t="shared" si="22"/>
        <v>122.3679141322841</v>
      </c>
      <c r="G87" s="2">
        <f t="shared" si="23"/>
        <v>14973.906409086054</v>
      </c>
      <c r="H87" s="2">
        <f t="shared" si="24"/>
        <v>6.6371858677158997</v>
      </c>
      <c r="I87" s="8">
        <f t="shared" si="25"/>
        <v>44.052236242607663</v>
      </c>
    </row>
    <row r="88" spans="1:18" x14ac:dyDescent="0.35">
      <c r="A88" s="7">
        <v>69.770589999999999</v>
      </c>
      <c r="B88" s="3">
        <v>112.73569999999999</v>
      </c>
      <c r="C88" s="2">
        <f t="shared" si="19"/>
        <v>4867.9352289480994</v>
      </c>
      <c r="D88" s="2">
        <f t="shared" si="20"/>
        <v>12709.338054489999</v>
      </c>
      <c r="E88" s="2">
        <f t="shared" si="21"/>
        <v>7865.6363030629991</v>
      </c>
      <c r="F88" s="2">
        <f t="shared" si="22"/>
        <v>132.70650850372732</v>
      </c>
      <c r="G88" s="2">
        <f t="shared" si="23"/>
        <v>17611.017399249853</v>
      </c>
      <c r="H88" s="2">
        <f t="shared" si="24"/>
        <v>-19.970808503727326</v>
      </c>
      <c r="I88" s="8">
        <f t="shared" si="25"/>
        <v>398.83319229254772</v>
      </c>
    </row>
    <row r="89" spans="1:18" x14ac:dyDescent="0.35">
      <c r="A89" s="7">
        <v>68.158159999999995</v>
      </c>
      <c r="B89" s="3">
        <v>126.1123</v>
      </c>
      <c r="C89" s="2">
        <f t="shared" si="19"/>
        <v>4645.5347745855997</v>
      </c>
      <c r="D89" s="2">
        <f t="shared" si="20"/>
        <v>15904.312211290002</v>
      </c>
      <c r="E89" s="2">
        <f t="shared" si="21"/>
        <v>8595.5823213679996</v>
      </c>
      <c r="F89" s="2">
        <f t="shared" si="22"/>
        <v>128.22122878420868</v>
      </c>
      <c r="G89" s="2">
        <f t="shared" si="23"/>
        <v>16440.683510932384</v>
      </c>
      <c r="H89" s="2">
        <f t="shared" si="24"/>
        <v>-2.1089287842086719</v>
      </c>
      <c r="I89" s="8">
        <f t="shared" si="25"/>
        <v>4.447580616863867</v>
      </c>
    </row>
    <row r="90" spans="1:18" x14ac:dyDescent="0.35">
      <c r="A90" s="7">
        <v>69.913719999999998</v>
      </c>
      <c r="B90" s="3">
        <v>118.3724</v>
      </c>
      <c r="C90" s="2">
        <f t="shared" si="19"/>
        <v>4887.9282442384001</v>
      </c>
      <c r="D90" s="2">
        <f t="shared" si="20"/>
        <v>14012.025081759999</v>
      </c>
      <c r="E90" s="2">
        <f t="shared" si="21"/>
        <v>8275.8548293280001</v>
      </c>
      <c r="F90" s="2">
        <f t="shared" si="22"/>
        <v>133.10465173242858</v>
      </c>
      <c r="G90" s="2">
        <f t="shared" si="23"/>
        <v>17716.848312811104</v>
      </c>
      <c r="H90" s="2">
        <f t="shared" si="24"/>
        <v>-14.73225173242858</v>
      </c>
      <c r="I90" s="8">
        <f t="shared" si="25"/>
        <v>217.0392411076449</v>
      </c>
    </row>
    <row r="91" spans="1:18" x14ac:dyDescent="0.35">
      <c r="A91" s="7">
        <v>65.344610000000003</v>
      </c>
      <c r="B91" s="3">
        <v>122.9731</v>
      </c>
      <c r="C91" s="2">
        <f t="shared" si="19"/>
        <v>4269.9180560521008</v>
      </c>
      <c r="D91" s="2">
        <f t="shared" si="20"/>
        <v>15122.38332361</v>
      </c>
      <c r="E91" s="2">
        <f t="shared" si="21"/>
        <v>8035.6292599910003</v>
      </c>
      <c r="F91" s="2">
        <f t="shared" si="22"/>
        <v>120.39480608378032</v>
      </c>
      <c r="G91" s="2">
        <f t="shared" si="23"/>
        <v>14494.909331951068</v>
      </c>
      <c r="H91" s="2">
        <f t="shared" si="24"/>
        <v>2.5782939162196783</v>
      </c>
      <c r="I91" s="8">
        <f t="shared" si="25"/>
        <v>6.6475995184154053</v>
      </c>
    </row>
    <row r="92" spans="1:18" x14ac:dyDescent="0.35">
      <c r="A92" s="7">
        <v>68.356210000000004</v>
      </c>
      <c r="B92" s="3">
        <v>130.3663</v>
      </c>
      <c r="C92" s="2">
        <f t="shared" si="19"/>
        <v>4672.5714455641009</v>
      </c>
      <c r="D92" s="2">
        <f t="shared" si="20"/>
        <v>16995.372175689998</v>
      </c>
      <c r="E92" s="2">
        <f t="shared" si="21"/>
        <v>8911.3461797230011</v>
      </c>
      <c r="F92" s="2">
        <f t="shared" si="22"/>
        <v>128.77214240430425</v>
      </c>
      <c r="G92" s="2">
        <f t="shared" si="23"/>
        <v>16582.264659394412</v>
      </c>
      <c r="H92" s="2">
        <f t="shared" si="24"/>
        <v>1.5941575956957479</v>
      </c>
      <c r="I92" s="8">
        <f t="shared" si="25"/>
        <v>2.5413384399144476</v>
      </c>
    </row>
    <row r="93" spans="1:18" ht="15.5" customHeight="1" x14ac:dyDescent="0.35">
      <c r="A93" s="7">
        <v>64.505849999999995</v>
      </c>
      <c r="B93" s="3">
        <v>114.226</v>
      </c>
      <c r="C93" s="2">
        <f t="shared" si="19"/>
        <v>4161.0046842224992</v>
      </c>
      <c r="D93" s="2">
        <f t="shared" si="20"/>
        <v>13047.579076</v>
      </c>
      <c r="E93" s="2">
        <f t="shared" si="21"/>
        <v>7368.2452220999994</v>
      </c>
      <c r="F93" s="2">
        <f t="shared" si="22"/>
        <v>118.06163613684093</v>
      </c>
      <c r="G93" s="2">
        <f t="shared" si="23"/>
        <v>13938.549927307824</v>
      </c>
      <c r="H93" s="2">
        <f t="shared" si="24"/>
        <v>-3.8356361368409324</v>
      </c>
      <c r="I93" s="8">
        <f t="shared" si="25"/>
        <v>14.712104574240032</v>
      </c>
      <c r="K93" s="99" t="s">
        <v>56</v>
      </c>
      <c r="L93" s="100"/>
      <c r="M93" s="100"/>
      <c r="N93" s="100"/>
      <c r="O93" s="101"/>
      <c r="Q93" s="99" t="s">
        <v>58</v>
      </c>
      <c r="R93" s="101"/>
    </row>
    <row r="94" spans="1:18" x14ac:dyDescent="0.35">
      <c r="A94" s="7">
        <v>67.954909999999998</v>
      </c>
      <c r="B94" s="3">
        <v>115.7854</v>
      </c>
      <c r="C94" s="2">
        <f t="shared" si="19"/>
        <v>4617.8697931080997</v>
      </c>
      <c r="D94" s="2">
        <f t="shared" si="20"/>
        <v>13406.258853159999</v>
      </c>
      <c r="E94" s="2">
        <f t="shared" si="21"/>
        <v>7868.1864363139994</v>
      </c>
      <c r="F94" s="2">
        <f t="shared" si="22"/>
        <v>127.65585037832925</v>
      </c>
      <c r="G94" s="2">
        <f t="shared" si="23"/>
        <v>16296.016135814383</v>
      </c>
      <c r="H94" s="2">
        <f t="shared" si="24"/>
        <v>-11.870450378329252</v>
      </c>
      <c r="I94" s="8">
        <f t="shared" si="25"/>
        <v>140.90759218437708</v>
      </c>
      <c r="K94" s="102"/>
      <c r="L94" s="103"/>
      <c r="M94" s="103"/>
      <c r="N94" s="103"/>
      <c r="O94" s="104"/>
      <c r="Q94" s="102"/>
      <c r="R94" s="104"/>
    </row>
    <row r="95" spans="1:18" x14ac:dyDescent="0.35">
      <c r="A95" s="7">
        <v>68.576210000000003</v>
      </c>
      <c r="B95" s="3">
        <v>137.95259999999999</v>
      </c>
      <c r="C95" s="2">
        <f t="shared" si="19"/>
        <v>4702.6965779641005</v>
      </c>
      <c r="D95" s="2">
        <f t="shared" si="20"/>
        <v>19030.919846759996</v>
      </c>
      <c r="E95" s="2">
        <f t="shared" si="21"/>
        <v>9460.266467645999</v>
      </c>
      <c r="F95" s="2">
        <f t="shared" si="22"/>
        <v>129.38411411054523</v>
      </c>
      <c r="G95" s="2">
        <f t="shared" si="23"/>
        <v>16740.24898417059</v>
      </c>
      <c r="H95" s="2">
        <f t="shared" si="24"/>
        <v>8.5684858894547631</v>
      </c>
      <c r="I95" s="8">
        <f t="shared" si="25"/>
        <v>73.418950437785384</v>
      </c>
      <c r="K95" s="102"/>
      <c r="L95" s="103"/>
      <c r="M95" s="103"/>
      <c r="N95" s="103"/>
      <c r="O95" s="104"/>
      <c r="Q95" s="88" t="s">
        <v>59</v>
      </c>
      <c r="R95" s="12">
        <f>SQRT(Q2/198*S56)</f>
        <v>9.5395989795809601</v>
      </c>
    </row>
    <row r="96" spans="1:18" x14ac:dyDescent="0.35">
      <c r="A96" s="7">
        <v>68.122569999999996</v>
      </c>
      <c r="B96" s="3">
        <v>112.2435</v>
      </c>
      <c r="C96" s="2">
        <f t="shared" si="19"/>
        <v>4640.6845434048992</v>
      </c>
      <c r="D96" s="2">
        <f t="shared" si="20"/>
        <v>12598.60329225</v>
      </c>
      <c r="E96" s="2">
        <f t="shared" si="21"/>
        <v>7646.3156857949998</v>
      </c>
      <c r="F96" s="2">
        <f t="shared" si="22"/>
        <v>128.12222845227632</v>
      </c>
      <c r="G96" s="2">
        <f t="shared" si="23"/>
        <v>16415.305423577283</v>
      </c>
      <c r="H96" s="2">
        <f t="shared" si="24"/>
        <v>-15.87872845227632</v>
      </c>
      <c r="I96" s="8">
        <f t="shared" si="25"/>
        <v>252.13401726112954</v>
      </c>
      <c r="K96" s="102"/>
      <c r="L96" s="103"/>
      <c r="M96" s="103"/>
      <c r="N96" s="103"/>
      <c r="O96" s="104"/>
    </row>
    <row r="97" spans="1:18" ht="14.5" customHeight="1" x14ac:dyDescent="0.35">
      <c r="A97" s="7">
        <v>68.775829999999999</v>
      </c>
      <c r="B97" s="3">
        <v>137.23699999999999</v>
      </c>
      <c r="C97" s="2">
        <f t="shared" si="19"/>
        <v>4730.1147921888996</v>
      </c>
      <c r="D97" s="2">
        <f t="shared" si="20"/>
        <v>18833.994168999998</v>
      </c>
      <c r="E97" s="2">
        <f t="shared" si="21"/>
        <v>9438.5885817099988</v>
      </c>
      <c r="F97" s="2">
        <f t="shared" si="22"/>
        <v>129.93939498327165</v>
      </c>
      <c r="G97" s="2">
        <f t="shared" si="23"/>
        <v>16884.246368618682</v>
      </c>
      <c r="H97" s="2">
        <f t="shared" si="24"/>
        <v>7.2976050167283404</v>
      </c>
      <c r="I97" s="8">
        <f t="shared" si="25"/>
        <v>53.255038980178639</v>
      </c>
      <c r="K97" s="102"/>
      <c r="L97" s="103"/>
      <c r="M97" s="103"/>
      <c r="N97" s="103"/>
      <c r="O97" s="104"/>
      <c r="Q97" s="99" t="s">
        <v>67</v>
      </c>
      <c r="R97" s="101"/>
    </row>
    <row r="98" spans="1:18" x14ac:dyDescent="0.35">
      <c r="A98" s="7">
        <v>67.925929999999994</v>
      </c>
      <c r="B98" s="3">
        <v>124.9418</v>
      </c>
      <c r="C98" s="2">
        <f t="shared" si="19"/>
        <v>4613.9319663648994</v>
      </c>
      <c r="D98" s="2">
        <f t="shared" si="20"/>
        <v>15610.453387240001</v>
      </c>
      <c r="E98" s="2">
        <f t="shared" si="21"/>
        <v>8486.7879608739986</v>
      </c>
      <c r="F98" s="2">
        <f t="shared" si="22"/>
        <v>127.57523701447987</v>
      </c>
      <c r="G98" s="2">
        <f t="shared" si="23"/>
        <v>16275.441099300713</v>
      </c>
      <c r="H98" s="2">
        <f t="shared" si="24"/>
        <v>-2.6334370144798669</v>
      </c>
      <c r="I98" s="8">
        <f t="shared" si="25"/>
        <v>6.9349905092326347</v>
      </c>
      <c r="K98" s="105" t="s">
        <v>57</v>
      </c>
      <c r="L98" s="106"/>
      <c r="M98" s="106"/>
      <c r="N98" s="106"/>
      <c r="O98" s="107"/>
      <c r="Q98" s="102"/>
      <c r="R98" s="104"/>
    </row>
    <row r="99" spans="1:18" x14ac:dyDescent="0.35">
      <c r="A99" s="7">
        <v>69.148399999999995</v>
      </c>
      <c r="B99" s="3">
        <v>135.09610000000001</v>
      </c>
      <c r="C99" s="2">
        <f t="shared" si="19"/>
        <v>4781.5012225599994</v>
      </c>
      <c r="D99" s="2">
        <f t="shared" si="20"/>
        <v>18250.95623521</v>
      </c>
      <c r="E99" s="2">
        <f t="shared" si="21"/>
        <v>9341.6791612399993</v>
      </c>
      <c r="F99" s="2">
        <f t="shared" si="22"/>
        <v>130.97576906779068</v>
      </c>
      <c r="G99" s="2">
        <f t="shared" si="23"/>
        <v>17154.652082899232</v>
      </c>
      <c r="H99" s="2">
        <f t="shared" si="24"/>
        <v>4.1203309322093276</v>
      </c>
      <c r="I99" s="8">
        <f t="shared" si="25"/>
        <v>16.977126990920986</v>
      </c>
      <c r="K99" s="102" t="s">
        <v>63</v>
      </c>
      <c r="L99" s="103"/>
      <c r="M99" s="103"/>
      <c r="N99" s="103"/>
      <c r="O99" s="108">
        <f>S60 / (1 - S60) * 198/1</f>
        <v>61.916486756478136</v>
      </c>
      <c r="Q99" s="102"/>
      <c r="R99" s="104"/>
    </row>
    <row r="100" spans="1:18" x14ac:dyDescent="0.35">
      <c r="A100" s="7">
        <v>63.205390000000001</v>
      </c>
      <c r="B100" s="3">
        <v>114.4199</v>
      </c>
      <c r="C100" s="2">
        <f t="shared" si="19"/>
        <v>3994.9213250521002</v>
      </c>
      <c r="D100" s="2">
        <f t="shared" si="20"/>
        <v>13091.91351601</v>
      </c>
      <c r="E100" s="2">
        <f t="shared" si="21"/>
        <v>7231.9544032610002</v>
      </c>
      <c r="F100" s="2">
        <f t="shared" si="22"/>
        <v>114.44416011366768</v>
      </c>
      <c r="G100" s="2">
        <f t="shared" si="23"/>
        <v>13097.465784122804</v>
      </c>
      <c r="H100" s="2">
        <f t="shared" si="24"/>
        <v>-2.4260113667679661E-2</v>
      </c>
      <c r="I100" s="8">
        <f t="shared" si="25"/>
        <v>5.8855311516873752E-4</v>
      </c>
      <c r="K100" s="102"/>
      <c r="L100" s="103"/>
      <c r="M100" s="103"/>
      <c r="N100" s="103"/>
      <c r="O100" s="108"/>
      <c r="Q100" s="88" t="s">
        <v>61</v>
      </c>
      <c r="R100" s="12">
        <f>SQRT(M5 * R95^2 / Q2 / O5)</f>
        <v>24.017597349534288</v>
      </c>
    </row>
    <row r="101" spans="1:18" x14ac:dyDescent="0.35">
      <c r="A101" s="7">
        <v>69.244200000000006</v>
      </c>
      <c r="B101" s="3">
        <v>122.1823</v>
      </c>
      <c r="C101" s="2">
        <f t="shared" si="19"/>
        <v>4794.7592336400012</v>
      </c>
      <c r="D101" s="2">
        <f t="shared" si="20"/>
        <v>14928.51443329</v>
      </c>
      <c r="E101" s="2">
        <f t="shared" si="21"/>
        <v>8460.4156176600009</v>
      </c>
      <c r="F101" s="2">
        <f t="shared" si="22"/>
        <v>131.24225492896289</v>
      </c>
      <c r="G101" s="2">
        <f t="shared" si="23"/>
        <v>17224.529478838886</v>
      </c>
      <c r="H101" s="2">
        <f t="shared" si="24"/>
        <v>-9.0599549289628953</v>
      </c>
      <c r="I101" s="8">
        <f t="shared" si="25"/>
        <v>82.082783314839062</v>
      </c>
      <c r="K101" s="105" t="s">
        <v>62</v>
      </c>
      <c r="L101" s="106"/>
      <c r="M101" s="106"/>
      <c r="N101" s="106"/>
      <c r="O101" s="8">
        <v>0.05</v>
      </c>
    </row>
    <row r="102" spans="1:18" x14ac:dyDescent="0.35">
      <c r="A102" s="7">
        <v>65.886449999999996</v>
      </c>
      <c r="B102" s="3">
        <v>129.375</v>
      </c>
      <c r="C102" s="2">
        <f t="shared" si="19"/>
        <v>4341.0242936024997</v>
      </c>
      <c r="D102" s="2">
        <f t="shared" si="20"/>
        <v>16737.890625</v>
      </c>
      <c r="E102" s="2">
        <f t="shared" si="21"/>
        <v>8524.0594687499997</v>
      </c>
      <c r="F102" s="2">
        <f t="shared" si="22"/>
        <v>121.9020367624603</v>
      </c>
      <c r="G102" s="2">
        <f t="shared" si="23"/>
        <v>14860.106566836223</v>
      </c>
      <c r="H102" s="2">
        <f t="shared" si="24"/>
        <v>7.4729632375397017</v>
      </c>
      <c r="I102" s="8">
        <f t="shared" si="25"/>
        <v>55.845179549619857</v>
      </c>
      <c r="K102" s="102" t="s">
        <v>64</v>
      </c>
      <c r="L102" s="103"/>
      <c r="M102" s="103"/>
      <c r="N102" s="103"/>
      <c r="O102" s="108">
        <f>_xlfn.F.INV.RT(O101, 1, 198)</f>
        <v>3.8888529328918917</v>
      </c>
      <c r="Q102" s="99" t="s">
        <v>68</v>
      </c>
      <c r="R102" s="101"/>
    </row>
    <row r="103" spans="1:18" x14ac:dyDescent="0.35">
      <c r="A103" s="7">
        <v>67.851860000000002</v>
      </c>
      <c r="B103" s="3">
        <v>129.94479999999999</v>
      </c>
      <c r="C103" s="2">
        <f t="shared" si="19"/>
        <v>4603.8749054596001</v>
      </c>
      <c r="D103" s="2">
        <f t="shared" si="20"/>
        <v>16885.651047039995</v>
      </c>
      <c r="E103" s="2">
        <f t="shared" si="21"/>
        <v>8816.9963773279997</v>
      </c>
      <c r="F103" s="2">
        <f t="shared" si="22"/>
        <v>127.36919726774686</v>
      </c>
      <c r="G103" s="2">
        <f t="shared" si="23"/>
        <v>16222.912412630212</v>
      </c>
      <c r="H103" s="2">
        <f t="shared" si="24"/>
        <v>2.575602732253131</v>
      </c>
      <c r="I103" s="8">
        <f t="shared" si="25"/>
        <v>6.6337294343897932</v>
      </c>
      <c r="K103" s="102"/>
      <c r="L103" s="103"/>
      <c r="M103" s="103"/>
      <c r="N103" s="103"/>
      <c r="O103" s="108"/>
      <c r="Q103" s="102"/>
      <c r="R103" s="104"/>
    </row>
    <row r="104" spans="1:18" x14ac:dyDescent="0.35">
      <c r="A104" s="7">
        <v>65.574179999999998</v>
      </c>
      <c r="B104" s="3">
        <v>140.45570000000001</v>
      </c>
      <c r="C104" s="2">
        <f t="shared" si="19"/>
        <v>4299.9730826723999</v>
      </c>
      <c r="D104" s="2">
        <f t="shared" si="20"/>
        <v>19727.803662490001</v>
      </c>
      <c r="E104" s="2">
        <f t="shared" si="21"/>
        <v>9210.2673538260005</v>
      </c>
      <c r="F104" s="2">
        <f t="shared" si="22"/>
        <v>121.03339855924274</v>
      </c>
      <c r="G104" s="2">
        <f t="shared" si="23"/>
        <v>14649.083566800502</v>
      </c>
      <c r="H104" s="2">
        <f t="shared" si="24"/>
        <v>19.422301440757266</v>
      </c>
      <c r="I104" s="8">
        <f t="shared" si="25"/>
        <v>377.2257932556418</v>
      </c>
      <c r="K104" s="25"/>
      <c r="L104" s="2"/>
      <c r="M104" s="2"/>
      <c r="N104" s="2"/>
      <c r="O104" s="8"/>
      <c r="Q104" s="102"/>
      <c r="R104" s="104"/>
    </row>
    <row r="105" spans="1:18" ht="15" customHeight="1" x14ac:dyDescent="0.35">
      <c r="A105" s="7">
        <v>66.708190000000002</v>
      </c>
      <c r="B105" s="3">
        <v>120.8977</v>
      </c>
      <c r="C105" s="2">
        <f t="shared" si="19"/>
        <v>4449.9826130761003</v>
      </c>
      <c r="D105" s="2">
        <f t="shared" si="20"/>
        <v>14616.25386529</v>
      </c>
      <c r="E105" s="2">
        <f t="shared" si="21"/>
        <v>8064.8667421629998</v>
      </c>
      <c r="F105" s="2">
        <f t="shared" si="22"/>
        <v>124.18786235285323</v>
      </c>
      <c r="G105" s="2">
        <f t="shared" si="23"/>
        <v>15422.62515577122</v>
      </c>
      <c r="H105" s="2">
        <f t="shared" si="24"/>
        <v>-3.2901623528532298</v>
      </c>
      <c r="I105" s="8">
        <f t="shared" si="25"/>
        <v>10.825168308132701</v>
      </c>
      <c r="K105" s="102" t="s">
        <v>65</v>
      </c>
      <c r="L105" s="103"/>
      <c r="M105" s="103"/>
      <c r="N105" s="103"/>
      <c r="O105" s="104"/>
      <c r="Q105" s="88" t="s">
        <v>60</v>
      </c>
      <c r="R105" s="12">
        <f>SQRT(R95^2 / Q2 / O5)</f>
        <v>0.35351309829546801</v>
      </c>
    </row>
    <row r="106" spans="1:18" x14ac:dyDescent="0.35">
      <c r="A106" s="7">
        <v>69.171999999999997</v>
      </c>
      <c r="B106" s="3">
        <v>129.15899999999999</v>
      </c>
      <c r="C106" s="2">
        <f t="shared" si="19"/>
        <v>4784.7655839999998</v>
      </c>
      <c r="D106" s="2">
        <f t="shared" si="20"/>
        <v>16682.047280999999</v>
      </c>
      <c r="E106" s="2">
        <f t="shared" si="21"/>
        <v>8934.1863479999993</v>
      </c>
      <c r="F106" s="2">
        <f t="shared" si="22"/>
        <v>131.0414169417329</v>
      </c>
      <c r="G106" s="2">
        <f t="shared" si="23"/>
        <v>17171.852954097085</v>
      </c>
      <c r="H106" s="2">
        <f t="shared" si="24"/>
        <v>-1.8824169417329131</v>
      </c>
      <c r="I106" s="8">
        <f t="shared" si="25"/>
        <v>3.5434935425230933</v>
      </c>
      <c r="K106" s="102"/>
      <c r="L106" s="103"/>
      <c r="M106" s="103"/>
      <c r="N106" s="103"/>
      <c r="O106" s="104"/>
    </row>
    <row r="107" spans="1:18" x14ac:dyDescent="0.35">
      <c r="A107" s="7">
        <v>69.235929999999996</v>
      </c>
      <c r="B107" s="3">
        <v>137.1397</v>
      </c>
      <c r="C107" s="2">
        <f t="shared" si="19"/>
        <v>4793.6140029648996</v>
      </c>
      <c r="D107" s="2">
        <f t="shared" si="20"/>
        <v>18807.29731609</v>
      </c>
      <c r="E107" s="2">
        <f t="shared" si="21"/>
        <v>9494.9946694209993</v>
      </c>
      <c r="F107" s="2">
        <f t="shared" si="22"/>
        <v>131.21925035618739</v>
      </c>
      <c r="G107" s="2">
        <f t="shared" si="23"/>
        <v>17218.491664039782</v>
      </c>
      <c r="H107" s="2">
        <f t="shared" si="24"/>
        <v>5.9204496438126171</v>
      </c>
      <c r="I107" s="8">
        <f t="shared" si="25"/>
        <v>35.051723984920947</v>
      </c>
      <c r="K107" s="102"/>
      <c r="L107" s="103"/>
      <c r="M107" s="103"/>
      <c r="N107" s="103"/>
      <c r="O107" s="104"/>
    </row>
    <row r="108" spans="1:18" x14ac:dyDescent="0.35">
      <c r="A108" s="7">
        <v>67.572320000000005</v>
      </c>
      <c r="B108" s="3">
        <v>145.2218</v>
      </c>
      <c r="C108" s="2">
        <f t="shared" si="19"/>
        <v>4566.0184301824011</v>
      </c>
      <c r="D108" s="2">
        <f t="shared" si="20"/>
        <v>21089.371195240001</v>
      </c>
      <c r="E108" s="2">
        <f t="shared" si="21"/>
        <v>9812.973940576001</v>
      </c>
      <c r="F108" s="2">
        <f t="shared" si="22"/>
        <v>126.59160376428052</v>
      </c>
      <c r="G108" s="2">
        <f t="shared" si="23"/>
        <v>16025.434143612601</v>
      </c>
      <c r="H108" s="2">
        <f t="shared" si="24"/>
        <v>18.630196235719481</v>
      </c>
      <c r="I108" s="8">
        <f t="shared" si="25"/>
        <v>347.08421178141634</v>
      </c>
      <c r="K108" s="25"/>
      <c r="L108" s="2"/>
      <c r="M108" s="2"/>
      <c r="N108" s="2"/>
      <c r="O108" s="8"/>
    </row>
    <row r="109" spans="1:18" x14ac:dyDescent="0.35">
      <c r="A109" s="7">
        <v>69.505179999999996</v>
      </c>
      <c r="B109" s="3">
        <v>140.09559999999999</v>
      </c>
      <c r="C109" s="2">
        <f t="shared" si="19"/>
        <v>4830.970046832399</v>
      </c>
      <c r="D109" s="2">
        <f t="shared" si="20"/>
        <v>19626.777139359998</v>
      </c>
      <c r="E109" s="2">
        <f t="shared" si="21"/>
        <v>9737.3698952079994</v>
      </c>
      <c r="F109" s="2">
        <f t="shared" si="22"/>
        <v>131.9682202739391</v>
      </c>
      <c r="G109" s="2">
        <f t="shared" si="23"/>
        <v>17415.61116227091</v>
      </c>
      <c r="H109" s="2">
        <f t="shared" si="24"/>
        <v>8.1273797260608944</v>
      </c>
      <c r="I109" s="8">
        <f t="shared" si="25"/>
        <v>66.054301211585653</v>
      </c>
      <c r="K109" s="105" t="s">
        <v>66</v>
      </c>
      <c r="L109" s="106"/>
      <c r="M109" s="106"/>
      <c r="N109" s="106"/>
      <c r="O109" s="107"/>
    </row>
    <row r="110" spans="1:18" x14ac:dyDescent="0.35">
      <c r="A110" s="7">
        <v>70.602879999999999</v>
      </c>
      <c r="B110" s="3">
        <v>124.12</v>
      </c>
      <c r="C110" s="2">
        <f t="shared" si="19"/>
        <v>4984.7666642943996</v>
      </c>
      <c r="D110" s="2">
        <f t="shared" si="20"/>
        <v>15405.7744</v>
      </c>
      <c r="E110" s="2">
        <f t="shared" si="21"/>
        <v>8763.2294655999995</v>
      </c>
      <c r="F110" s="2">
        <f t="shared" si="22"/>
        <v>135.02168091912409</v>
      </c>
      <c r="G110" s="2">
        <f t="shared" si="23"/>
        <v>18230.85431822576</v>
      </c>
      <c r="H110" s="2">
        <f t="shared" si="24"/>
        <v>-10.90168091912409</v>
      </c>
      <c r="I110" s="8">
        <f t="shared" si="25"/>
        <v>118.84664686239425</v>
      </c>
      <c r="K110" s="105" t="s">
        <v>86</v>
      </c>
      <c r="L110" s="106"/>
      <c r="M110" s="106"/>
      <c r="N110" s="106"/>
      <c r="O110" s="8">
        <f>ABS(K55/R105)</f>
        <v>7.868702990737777</v>
      </c>
    </row>
    <row r="111" spans="1:18" x14ac:dyDescent="0.35">
      <c r="A111" s="7">
        <v>66.541520000000006</v>
      </c>
      <c r="B111" s="3">
        <v>135.6875</v>
      </c>
      <c r="C111" s="2">
        <f t="shared" si="19"/>
        <v>4427.7738839104004</v>
      </c>
      <c r="D111" s="2">
        <f t="shared" si="20"/>
        <v>18411.09765625</v>
      </c>
      <c r="E111" s="2">
        <f t="shared" si="21"/>
        <v>9028.852495000001</v>
      </c>
      <c r="F111" s="2">
        <f t="shared" si="22"/>
        <v>123.72423815158426</v>
      </c>
      <c r="G111" s="2">
        <f t="shared" si="23"/>
        <v>15307.687106189938</v>
      </c>
      <c r="H111" s="2">
        <f t="shared" si="24"/>
        <v>11.96326184841574</v>
      </c>
      <c r="I111" s="8">
        <f t="shared" si="25"/>
        <v>143.1196340537596</v>
      </c>
      <c r="K111" s="105" t="s">
        <v>87</v>
      </c>
      <c r="L111" s="106"/>
      <c r="M111" s="106"/>
      <c r="N111" s="106"/>
      <c r="O111" s="8">
        <f>ABS(L55/R100)</f>
        <v>2.5553602787794665</v>
      </c>
    </row>
    <row r="112" spans="1:18" x14ac:dyDescent="0.35">
      <c r="A112" s="7">
        <v>69.114940000000004</v>
      </c>
      <c r="B112" s="3">
        <v>127.756</v>
      </c>
      <c r="C112" s="2">
        <f t="shared" si="19"/>
        <v>4776.8749312036007</v>
      </c>
      <c r="D112" s="2">
        <f t="shared" si="20"/>
        <v>16321.595536000001</v>
      </c>
      <c r="E112" s="2">
        <f t="shared" si="21"/>
        <v>8829.8482746400005</v>
      </c>
      <c r="F112" s="2">
        <f t="shared" si="22"/>
        <v>130.88269373465062</v>
      </c>
      <c r="G112" s="2">
        <f t="shared" si="23"/>
        <v>17130.279519238353</v>
      </c>
      <c r="H112" s="2">
        <f t="shared" si="24"/>
        <v>-3.1266937346506154</v>
      </c>
      <c r="I112" s="8">
        <f t="shared" si="25"/>
        <v>9.7762137103034128</v>
      </c>
      <c r="K112" s="68" t="s">
        <v>69</v>
      </c>
      <c r="L112" s="32"/>
      <c r="M112" s="32"/>
      <c r="N112" s="32"/>
      <c r="O112" s="98">
        <f>_xlfn.T.INV(1-O101, 198)</f>
        <v>1.6525857836178461</v>
      </c>
    </row>
    <row r="113" spans="1:18" x14ac:dyDescent="0.35">
      <c r="A113" s="7">
        <v>69.950999999999993</v>
      </c>
      <c r="B113" s="3">
        <v>144.04750000000001</v>
      </c>
      <c r="C113" s="2">
        <f t="shared" si="19"/>
        <v>4893.1424009999992</v>
      </c>
      <c r="D113" s="2">
        <f t="shared" si="20"/>
        <v>20749.682256250006</v>
      </c>
      <c r="E113" s="2">
        <f t="shared" si="21"/>
        <v>10076.2666725</v>
      </c>
      <c r="F113" s="2">
        <f t="shared" si="22"/>
        <v>133.20835311974065</v>
      </c>
      <c r="G113" s="2">
        <f t="shared" si="23"/>
        <v>17744.465340873518</v>
      </c>
      <c r="H113" s="2">
        <f t="shared" si="24"/>
        <v>10.839146880259364</v>
      </c>
      <c r="I113" s="8">
        <f t="shared" si="25"/>
        <v>117.4871050918363</v>
      </c>
      <c r="K113" s="68"/>
      <c r="L113" s="32"/>
      <c r="M113" s="32"/>
      <c r="N113" s="32"/>
      <c r="O113" s="98"/>
      <c r="Q113" s="99" t="s">
        <v>71</v>
      </c>
      <c r="R113" s="101"/>
    </row>
    <row r="114" spans="1:18" x14ac:dyDescent="0.35">
      <c r="A114" s="7">
        <v>67.703469999999996</v>
      </c>
      <c r="B114" s="3">
        <v>131.9333</v>
      </c>
      <c r="C114" s="2">
        <f t="shared" si="19"/>
        <v>4583.7598500408994</v>
      </c>
      <c r="D114" s="2">
        <f t="shared" si="20"/>
        <v>17406.39564889</v>
      </c>
      <c r="E114" s="2">
        <f t="shared" si="21"/>
        <v>8932.342218550999</v>
      </c>
      <c r="F114" s="2">
        <f t="shared" si="22"/>
        <v>126.9564223518873</v>
      </c>
      <c r="G114" s="2">
        <f t="shared" si="23"/>
        <v>16117.933176390789</v>
      </c>
      <c r="H114" s="2">
        <f t="shared" si="24"/>
        <v>4.9768776481127048</v>
      </c>
      <c r="I114" s="8">
        <f t="shared" si="25"/>
        <v>24.769311124283849</v>
      </c>
      <c r="K114" s="25"/>
      <c r="L114" s="2"/>
      <c r="M114" s="2"/>
      <c r="N114" s="2"/>
      <c r="O114" s="8"/>
      <c r="Q114" s="102"/>
      <c r="R114" s="104"/>
    </row>
    <row r="115" spans="1:18" x14ac:dyDescent="0.35">
      <c r="A115" s="7">
        <v>69.190280000000001</v>
      </c>
      <c r="B115" s="3">
        <v>135.52629999999999</v>
      </c>
      <c r="C115" s="2">
        <f t="shared" si="19"/>
        <v>4787.2948464784004</v>
      </c>
      <c r="D115" s="2">
        <f t="shared" si="20"/>
        <v>18367.377991689998</v>
      </c>
      <c r="E115" s="2">
        <f t="shared" si="21"/>
        <v>9377.1026443640003</v>
      </c>
      <c r="F115" s="2">
        <f t="shared" si="22"/>
        <v>131.09226622714237</v>
      </c>
      <c r="G115" s="2">
        <f t="shared" si="23"/>
        <v>17185.182264567975</v>
      </c>
      <c r="H115" s="2">
        <f t="shared" si="24"/>
        <v>4.4340337728576174</v>
      </c>
      <c r="I115" s="8">
        <f t="shared" si="25"/>
        <v>19.660655498841958</v>
      </c>
      <c r="K115" s="102" t="s">
        <v>88</v>
      </c>
      <c r="L115" s="103"/>
      <c r="M115" s="103"/>
      <c r="N115" s="103"/>
      <c r="O115" s="104"/>
      <c r="Q115" s="70" t="s">
        <v>70</v>
      </c>
      <c r="R115" s="71" t="s">
        <v>40</v>
      </c>
    </row>
    <row r="116" spans="1:18" x14ac:dyDescent="0.35">
      <c r="A116" s="7">
        <v>67.804699999999997</v>
      </c>
      <c r="B116" s="3">
        <v>151.3579</v>
      </c>
      <c r="C116" s="2">
        <f t="shared" si="19"/>
        <v>4597.4773420899992</v>
      </c>
      <c r="D116" s="2">
        <f t="shared" si="20"/>
        <v>22909.21389241</v>
      </c>
      <c r="E116" s="2">
        <f t="shared" si="21"/>
        <v>10262.77700213</v>
      </c>
      <c r="F116" s="2">
        <f t="shared" si="22"/>
        <v>127.23801278744536</v>
      </c>
      <c r="G116" s="2">
        <f t="shared" si="23"/>
        <v>16189.511898098108</v>
      </c>
      <c r="H116" s="2">
        <f t="shared" si="24"/>
        <v>24.119887212554644</v>
      </c>
      <c r="I116" s="8">
        <f t="shared" si="25"/>
        <v>581.76895914635702</v>
      </c>
      <c r="K116" s="109"/>
      <c r="L116" s="110"/>
      <c r="M116" s="110"/>
      <c r="N116" s="110"/>
      <c r="O116" s="111"/>
      <c r="Q116" s="14">
        <v>79</v>
      </c>
      <c r="R116" s="12">
        <f>K55*Q116+L55</f>
        <v>158.37986207326071</v>
      </c>
    </row>
    <row r="117" spans="1:18" x14ac:dyDescent="0.35">
      <c r="A117" s="7">
        <v>67.625320000000002</v>
      </c>
      <c r="B117" s="3">
        <v>124.7073</v>
      </c>
      <c r="C117" s="2">
        <f t="shared" si="19"/>
        <v>4573.1839051023999</v>
      </c>
      <c r="D117" s="2">
        <f t="shared" si="20"/>
        <v>15551.910673290002</v>
      </c>
      <c r="E117" s="2">
        <f t="shared" si="21"/>
        <v>8433.3710688360006</v>
      </c>
      <c r="F117" s="2">
        <f t="shared" si="22"/>
        <v>126.73903331169309</v>
      </c>
      <c r="G117" s="2">
        <f t="shared" si="23"/>
        <v>16062.782564782452</v>
      </c>
      <c r="H117" s="2">
        <f t="shared" si="24"/>
        <v>-2.0317333116930882</v>
      </c>
      <c r="I117" s="8">
        <f t="shared" si="25"/>
        <v>4.1279402498433635</v>
      </c>
    </row>
    <row r="118" spans="1:18" x14ac:dyDescent="0.35">
      <c r="A118" s="7">
        <v>70.368979999999993</v>
      </c>
      <c r="B118" s="3">
        <v>135.274</v>
      </c>
      <c r="C118" s="2">
        <f t="shared" si="19"/>
        <v>4951.7933462403989</v>
      </c>
      <c r="D118" s="2">
        <f t="shared" si="20"/>
        <v>18299.055076000001</v>
      </c>
      <c r="E118" s="2">
        <f t="shared" si="21"/>
        <v>9519.0934005199997</v>
      </c>
      <c r="F118" s="2">
        <f t="shared" si="22"/>
        <v>134.37104372780698</v>
      </c>
      <c r="G118" s="2">
        <f t="shared" si="23"/>
        <v>18055.577392500214</v>
      </c>
      <c r="H118" s="2">
        <f t="shared" si="24"/>
        <v>0.90295627219302332</v>
      </c>
      <c r="I118" s="8">
        <f t="shared" si="25"/>
        <v>0.81533002949272126</v>
      </c>
    </row>
    <row r="119" spans="1:18" x14ac:dyDescent="0.35">
      <c r="A119" s="7">
        <v>71.025949999999995</v>
      </c>
      <c r="B119" s="3">
        <v>136.53880000000001</v>
      </c>
      <c r="C119" s="2">
        <f t="shared" si="19"/>
        <v>5044.6855734024994</v>
      </c>
      <c r="D119" s="2">
        <f t="shared" si="20"/>
        <v>18642.843905440004</v>
      </c>
      <c r="E119" s="2">
        <f t="shared" si="21"/>
        <v>9697.7979818599997</v>
      </c>
      <c r="F119" s="2">
        <f t="shared" si="22"/>
        <v>136.19853032712115</v>
      </c>
      <c r="G119" s="2">
        <f t="shared" si="23"/>
        <v>18550.03966326774</v>
      </c>
      <c r="H119" s="2">
        <f t="shared" si="24"/>
        <v>0.34026967287886123</v>
      </c>
      <c r="I119" s="8">
        <f t="shared" si="25"/>
        <v>0.11578345028108723</v>
      </c>
    </row>
    <row r="120" spans="1:18" ht="14.5" customHeight="1" x14ac:dyDescent="0.35">
      <c r="A120" s="7">
        <v>69.845200000000006</v>
      </c>
      <c r="B120" s="3">
        <v>137.87780000000001</v>
      </c>
      <c r="C120" s="2">
        <f t="shared" si="19"/>
        <v>4878.3519630400006</v>
      </c>
      <c r="D120" s="2">
        <f t="shared" si="20"/>
        <v>19010.287732840003</v>
      </c>
      <c r="E120" s="2">
        <f t="shared" si="21"/>
        <v>9630.1025165600022</v>
      </c>
      <c r="F120" s="2">
        <f t="shared" si="22"/>
        <v>132.91405036283027</v>
      </c>
      <c r="G120" s="2">
        <f t="shared" si="23"/>
        <v>17666.144783852982</v>
      </c>
      <c r="H120" s="2">
        <f t="shared" si="24"/>
        <v>4.9637496371697409</v>
      </c>
      <c r="I120" s="8">
        <f t="shared" si="25"/>
        <v>24.638810460502736</v>
      </c>
      <c r="K120" s="99" t="s">
        <v>72</v>
      </c>
      <c r="L120" s="100"/>
      <c r="M120" s="100"/>
      <c r="N120" s="100"/>
      <c r="O120" s="100"/>
      <c r="P120" s="100"/>
      <c r="Q120" s="100"/>
      <c r="R120" s="101"/>
    </row>
    <row r="121" spans="1:18" x14ac:dyDescent="0.35">
      <c r="A121" s="7">
        <v>67.086380000000005</v>
      </c>
      <c r="B121" s="3">
        <v>114.20659999999999</v>
      </c>
      <c r="C121" s="2">
        <f t="shared" si="19"/>
        <v>4500.5823815044005</v>
      </c>
      <c r="D121" s="2">
        <f t="shared" si="20"/>
        <v>13043.147483559998</v>
      </c>
      <c r="E121" s="2">
        <f t="shared" si="21"/>
        <v>7661.7073661080003</v>
      </c>
      <c r="F121" s="2">
        <f t="shared" si="22"/>
        <v>125.23986953277718</v>
      </c>
      <c r="G121" s="2">
        <f t="shared" si="23"/>
        <v>15685.02492058705</v>
      </c>
      <c r="H121" s="2">
        <f t="shared" si="24"/>
        <v>-11.033269532777183</v>
      </c>
      <c r="I121" s="8">
        <f t="shared" si="25"/>
        <v>121.73303658290924</v>
      </c>
      <c r="K121" s="102"/>
      <c r="L121" s="103"/>
      <c r="M121" s="103"/>
      <c r="N121" s="103"/>
      <c r="O121" s="103"/>
      <c r="P121" s="103"/>
      <c r="Q121" s="103"/>
      <c r="R121" s="104"/>
    </row>
    <row r="122" spans="1:18" x14ac:dyDescent="0.35">
      <c r="A122" s="7">
        <v>68.620130000000003</v>
      </c>
      <c r="B122" s="3">
        <v>141.58439999999999</v>
      </c>
      <c r="C122" s="2">
        <f t="shared" si="19"/>
        <v>4708.7222412169003</v>
      </c>
      <c r="D122" s="2">
        <f t="shared" si="20"/>
        <v>20046.142323359996</v>
      </c>
      <c r="E122" s="2">
        <f t="shared" si="21"/>
        <v>9715.5399339719988</v>
      </c>
      <c r="F122" s="2">
        <f t="shared" si="22"/>
        <v>129.50628591662746</v>
      </c>
      <c r="G122" s="2">
        <f t="shared" si="23"/>
        <v>16771.878091919261</v>
      </c>
      <c r="H122" s="2">
        <f t="shared" si="24"/>
        <v>12.078114083372526</v>
      </c>
      <c r="I122" s="8">
        <f t="shared" si="25"/>
        <v>145.88083981096176</v>
      </c>
      <c r="K122" s="102"/>
      <c r="L122" s="103"/>
      <c r="M122" s="103"/>
      <c r="N122" s="103"/>
      <c r="O122" s="103"/>
      <c r="P122" s="103"/>
      <c r="Q122" s="103"/>
      <c r="R122" s="104"/>
    </row>
    <row r="123" spans="1:18" x14ac:dyDescent="0.35">
      <c r="A123" s="7">
        <v>64.372749999999996</v>
      </c>
      <c r="B123" s="3">
        <v>111.09690000000001</v>
      </c>
      <c r="C123" s="2">
        <f t="shared" si="19"/>
        <v>4143.8509425624998</v>
      </c>
      <c r="D123" s="2">
        <f t="shared" si="20"/>
        <v>12342.521189610001</v>
      </c>
      <c r="E123" s="2">
        <f t="shared" si="21"/>
        <v>7151.6129694749998</v>
      </c>
      <c r="F123" s="2">
        <f t="shared" si="22"/>
        <v>117.69139325456514</v>
      </c>
      <c r="G123" s="2">
        <f t="shared" si="23"/>
        <v>13851.264046200702</v>
      </c>
      <c r="H123" s="2">
        <f t="shared" si="24"/>
        <v>-6.5944932545651369</v>
      </c>
      <c r="I123" s="8">
        <f t="shared" si="25"/>
        <v>43.487341284505092</v>
      </c>
      <c r="K123" s="25"/>
      <c r="L123" s="2"/>
      <c r="M123" s="2"/>
      <c r="N123" s="2"/>
      <c r="O123" s="2"/>
      <c r="P123" s="2"/>
      <c r="Q123" s="2"/>
      <c r="R123" s="8"/>
    </row>
    <row r="124" spans="1:18" x14ac:dyDescent="0.35">
      <c r="A124" s="7">
        <v>65.935230000000004</v>
      </c>
      <c r="B124" s="3">
        <v>126.38679999999999</v>
      </c>
      <c r="C124" s="2">
        <f t="shared" si="19"/>
        <v>4347.4545551529009</v>
      </c>
      <c r="D124" s="2">
        <f t="shared" si="20"/>
        <v>15973.623214239999</v>
      </c>
      <c r="E124" s="2">
        <f t="shared" si="21"/>
        <v>8333.3427269639997</v>
      </c>
      <c r="F124" s="2">
        <f t="shared" si="22"/>
        <v>122.03772757987137</v>
      </c>
      <c r="G124" s="2">
        <f t="shared" si="23"/>
        <v>14893.206952858898</v>
      </c>
      <c r="H124" s="2">
        <f t="shared" si="24"/>
        <v>4.3490724201286213</v>
      </c>
      <c r="I124" s="8">
        <f t="shared" si="25"/>
        <v>18.914430915523422</v>
      </c>
      <c r="K124" s="112" t="s">
        <v>31</v>
      </c>
      <c r="L124" s="36" cm="1">
        <f t="array" ref="L124:M128">LINEST(B2:B201, A2:A201, 1, 1)</f>
        <v>2.7816895738235505</v>
      </c>
      <c r="M124" s="36">
        <v>-61.373614258788436</v>
      </c>
      <c r="N124" s="2" t="s">
        <v>73</v>
      </c>
      <c r="O124" s="2"/>
      <c r="P124" s="113" t="s">
        <v>82</v>
      </c>
      <c r="Q124" s="2" t="s">
        <v>83</v>
      </c>
      <c r="R124" s="8"/>
    </row>
    <row r="125" spans="1:18" x14ac:dyDescent="0.35">
      <c r="A125" s="7">
        <v>65.242850000000004</v>
      </c>
      <c r="B125" s="3">
        <v>132.88849999999999</v>
      </c>
      <c r="C125" s="2">
        <f t="shared" si="19"/>
        <v>4256.6294761225008</v>
      </c>
      <c r="D125" s="2">
        <f t="shared" si="20"/>
        <v>17659.353432249998</v>
      </c>
      <c r="E125" s="2">
        <f t="shared" si="21"/>
        <v>8670.0244722250009</v>
      </c>
      <c r="F125" s="2">
        <f t="shared" si="22"/>
        <v>120.11174135274815</v>
      </c>
      <c r="G125" s="2">
        <f t="shared" si="23"/>
        <v>14426.830410789471</v>
      </c>
      <c r="H125" s="2">
        <f t="shared" si="24"/>
        <v>12.776758647251839</v>
      </c>
      <c r="I125" s="8">
        <f t="shared" si="25"/>
        <v>163.24556153012463</v>
      </c>
      <c r="K125" s="112" t="s">
        <v>74</v>
      </c>
      <c r="L125" s="36">
        <v>0.35351309829545968</v>
      </c>
      <c r="M125" s="36">
        <v>24.017597349533716</v>
      </c>
      <c r="N125" s="2" t="s">
        <v>75</v>
      </c>
      <c r="O125" s="2"/>
      <c r="P125" s="2"/>
      <c r="Q125" s="2"/>
      <c r="R125" s="8"/>
    </row>
    <row r="126" spans="1:18" x14ac:dyDescent="0.35">
      <c r="A126" s="7">
        <v>70.514809999999997</v>
      </c>
      <c r="B126" s="3">
        <v>144.79040000000001</v>
      </c>
      <c r="C126" s="2">
        <f t="shared" si="19"/>
        <v>4972.3384293360996</v>
      </c>
      <c r="D126" s="2">
        <f t="shared" si="20"/>
        <v>20964.259932160003</v>
      </c>
      <c r="E126" s="2">
        <f t="shared" si="21"/>
        <v>10209.867545824</v>
      </c>
      <c r="F126" s="2">
        <f t="shared" si="22"/>
        <v>134.77669751835754</v>
      </c>
      <c r="G126" s="2">
        <f t="shared" si="23"/>
        <v>18164.758193954844</v>
      </c>
      <c r="H126" s="2">
        <f t="shared" si="24"/>
        <v>10.013702481642468</v>
      </c>
      <c r="I126" s="8">
        <f t="shared" si="25"/>
        <v>100.27423739085253</v>
      </c>
      <c r="K126" s="112" t="s">
        <v>76</v>
      </c>
      <c r="L126" s="36">
        <v>0.23821685007038948</v>
      </c>
      <c r="M126" s="36">
        <v>9.5395989795809601</v>
      </c>
      <c r="N126" s="2" t="s">
        <v>77</v>
      </c>
      <c r="O126" s="2"/>
      <c r="P126" s="113" t="s">
        <v>84</v>
      </c>
      <c r="Q126" s="2">
        <f>L128/200</f>
        <v>28.173223919643625</v>
      </c>
      <c r="R126" s="8"/>
    </row>
    <row r="127" spans="1:18" x14ac:dyDescent="0.35">
      <c r="A127" s="7">
        <v>66.611289999999997</v>
      </c>
      <c r="B127" s="3">
        <v>108.38590000000001</v>
      </c>
      <c r="C127" s="2">
        <f t="shared" si="19"/>
        <v>4437.0639554640993</v>
      </c>
      <c r="D127" s="2">
        <f t="shared" si="20"/>
        <v>11747.503318810001</v>
      </c>
      <c r="E127" s="2">
        <f t="shared" si="21"/>
        <v>7219.7246168110005</v>
      </c>
      <c r="F127" s="2">
        <f t="shared" si="22"/>
        <v>123.91831663314981</v>
      </c>
      <c r="G127" s="2">
        <f t="shared" si="23"/>
        <v>15355.749197193574</v>
      </c>
      <c r="H127" s="2">
        <f t="shared" si="24"/>
        <v>-15.532416633149808</v>
      </c>
      <c r="I127" s="8">
        <f t="shared" si="25"/>
        <v>241.2559664657488</v>
      </c>
      <c r="K127" s="112" t="s">
        <v>78</v>
      </c>
      <c r="L127" s="36">
        <v>61.916486756494137</v>
      </c>
      <c r="M127" s="36">
        <v>198</v>
      </c>
      <c r="N127" s="114" t="s">
        <v>79</v>
      </c>
      <c r="O127" s="2"/>
      <c r="P127" s="113" t="s">
        <v>85</v>
      </c>
      <c r="Q127" s="2">
        <f>M128/200</f>
        <v>90.093909204309881</v>
      </c>
      <c r="R127" s="8"/>
    </row>
    <row r="128" spans="1:18" x14ac:dyDescent="0.35">
      <c r="A128" s="7">
        <v>67.133939999999996</v>
      </c>
      <c r="B128" s="3">
        <v>124.1348</v>
      </c>
      <c r="C128" s="2">
        <f t="shared" si="19"/>
        <v>4506.965899923599</v>
      </c>
      <c r="D128" s="2">
        <f t="shared" si="20"/>
        <v>15409.44857104</v>
      </c>
      <c r="E128" s="2">
        <f t="shared" si="21"/>
        <v>8333.6582151120001</v>
      </c>
      <c r="F128" s="2">
        <f t="shared" si="22"/>
        <v>125.37216668890817</v>
      </c>
      <c r="G128" s="2">
        <f t="shared" si="23"/>
        <v>15718.180180271374</v>
      </c>
      <c r="H128" s="2">
        <f t="shared" si="24"/>
        <v>-1.2373666889081676</v>
      </c>
      <c r="I128" s="8">
        <f t="shared" si="25"/>
        <v>1.5310763228195621</v>
      </c>
      <c r="K128" s="112" t="s">
        <v>80</v>
      </c>
      <c r="L128" s="36">
        <v>5634.6447839287248</v>
      </c>
      <c r="M128" s="36">
        <v>18018.781840861975</v>
      </c>
      <c r="N128" s="2" t="s">
        <v>81</v>
      </c>
      <c r="O128" s="2"/>
      <c r="P128" s="2"/>
      <c r="Q128" s="2"/>
      <c r="R128" s="8"/>
    </row>
    <row r="129" spans="1:18" x14ac:dyDescent="0.35">
      <c r="A129" s="7">
        <v>66.776340000000005</v>
      </c>
      <c r="B129" s="3">
        <v>129.4462</v>
      </c>
      <c r="C129" s="2">
        <f t="shared" si="19"/>
        <v>4459.0795837956002</v>
      </c>
      <c r="D129" s="2">
        <f t="shared" si="20"/>
        <v>16756.31869444</v>
      </c>
      <c r="E129" s="2">
        <f t="shared" si="21"/>
        <v>8643.9434629080006</v>
      </c>
      <c r="F129" s="2">
        <f t="shared" si="22"/>
        <v>124.37743449730927</v>
      </c>
      <c r="G129" s="2">
        <f t="shared" si="23"/>
        <v>15469.746212132457</v>
      </c>
      <c r="H129" s="2">
        <f t="shared" si="24"/>
        <v>5.0687655026907379</v>
      </c>
      <c r="I129" s="8">
        <f t="shared" si="25"/>
        <v>25.692383721267689</v>
      </c>
      <c r="K129" s="25"/>
      <c r="L129" s="2"/>
      <c r="M129" s="2"/>
      <c r="N129" s="2"/>
      <c r="O129" s="2"/>
      <c r="P129" s="2"/>
      <c r="Q129" s="2"/>
      <c r="R129" s="8"/>
    </row>
    <row r="130" spans="1:18" x14ac:dyDescent="0.35">
      <c r="A130" s="7">
        <v>67.693849999999998</v>
      </c>
      <c r="B130" s="3">
        <v>131.3339</v>
      </c>
      <c r="C130" s="2">
        <f t="shared" si="19"/>
        <v>4582.4573278224998</v>
      </c>
      <c r="D130" s="2">
        <f t="shared" si="20"/>
        <v>17248.593289209999</v>
      </c>
      <c r="E130" s="2">
        <f t="shared" si="21"/>
        <v>8890.4973265150002</v>
      </c>
      <c r="F130" s="2">
        <f t="shared" si="22"/>
        <v>126.92966249818714</v>
      </c>
      <c r="G130" s="2">
        <f t="shared" si="23"/>
        <v>16111.139221903695</v>
      </c>
      <c r="H130" s="2">
        <f t="shared" si="24"/>
        <v>4.4042375018128581</v>
      </c>
      <c r="I130" s="8">
        <f t="shared" si="25"/>
        <v>19.397307972374765</v>
      </c>
      <c r="K130" s="68" t="s">
        <v>64</v>
      </c>
      <c r="L130" s="32"/>
      <c r="M130" s="32"/>
      <c r="N130" s="32"/>
      <c r="O130" s="97">
        <f>_xlfn.F.INV.RT(O101, 1, 198)</f>
        <v>3.8888529328918917</v>
      </c>
      <c r="P130" s="2"/>
      <c r="Q130" s="2"/>
      <c r="R130" s="8"/>
    </row>
    <row r="131" spans="1:18" x14ac:dyDescent="0.35">
      <c r="A131" s="7">
        <v>67.828090000000003</v>
      </c>
      <c r="B131" s="3">
        <v>111.64109999999999</v>
      </c>
      <c r="C131" s="2">
        <f t="shared" ref="C131:C194" si="26">A131^2</f>
        <v>4600.6497930481</v>
      </c>
      <c r="D131" s="2">
        <f t="shared" ref="D131:D194" si="27">B131^2</f>
        <v>12463.735209209999</v>
      </c>
      <c r="E131" s="2">
        <f t="shared" ref="E131:E194" si="28">A131*B131</f>
        <v>7572.4025784989999</v>
      </c>
      <c r="F131" s="2">
        <f t="shared" ref="F131:F194" si="29" xml:space="preserve"> $K$55 * A131 + $L$55</f>
        <v>127.30307650657709</v>
      </c>
      <c r="G131" s="2">
        <f t="shared" ref="G131:G194" si="30">F131^2</f>
        <v>16206.073288039419</v>
      </c>
      <c r="H131" s="2">
        <f t="shared" ref="H131:H194" si="31">B131-F131</f>
        <v>-15.661976506577091</v>
      </c>
      <c r="I131" s="8">
        <f t="shared" ref="I131:I194" si="32">H131^2</f>
        <v>245.29750809257274</v>
      </c>
      <c r="K131" s="68"/>
      <c r="L131" s="32"/>
      <c r="M131" s="32"/>
      <c r="N131" s="32"/>
      <c r="O131" s="97"/>
      <c r="P131" s="2"/>
      <c r="Q131" s="2"/>
      <c r="R131" s="8"/>
    </row>
    <row r="132" spans="1:18" x14ac:dyDescent="0.35">
      <c r="A132" s="7">
        <v>66.632540000000006</v>
      </c>
      <c r="B132" s="3">
        <v>111.6422</v>
      </c>
      <c r="C132" s="2">
        <f t="shared" si="26"/>
        <v>4439.895386851601</v>
      </c>
      <c r="D132" s="2">
        <f t="shared" si="27"/>
        <v>12463.980820840001</v>
      </c>
      <c r="E132" s="2">
        <f t="shared" si="28"/>
        <v>7439.0033571880012</v>
      </c>
      <c r="F132" s="2">
        <f t="shared" si="29"/>
        <v>123.97742753659357</v>
      </c>
      <c r="G132" s="2">
        <f t="shared" si="30"/>
        <v>15370.402538591308</v>
      </c>
      <c r="H132" s="2">
        <f t="shared" si="31"/>
        <v>-12.335227536593564</v>
      </c>
      <c r="I132" s="8">
        <f t="shared" si="32"/>
        <v>152.15783837953612</v>
      </c>
      <c r="K132" s="102" t="s">
        <v>65</v>
      </c>
      <c r="L132" s="103"/>
      <c r="M132" s="103"/>
      <c r="N132" s="103"/>
      <c r="O132" s="103"/>
      <c r="P132" s="2"/>
      <c r="Q132" s="2"/>
      <c r="R132" s="8"/>
    </row>
    <row r="133" spans="1:18" x14ac:dyDescent="0.35">
      <c r="A133" s="7">
        <v>67.622290000000007</v>
      </c>
      <c r="B133" s="3">
        <v>140.31780000000001</v>
      </c>
      <c r="C133" s="2">
        <f t="shared" si="26"/>
        <v>4572.7741048441012</v>
      </c>
      <c r="D133" s="2">
        <f t="shared" si="27"/>
        <v>19689.08499684</v>
      </c>
      <c r="E133" s="2">
        <f t="shared" si="28"/>
        <v>9488.6109637620011</v>
      </c>
      <c r="F133" s="2">
        <f t="shared" si="29"/>
        <v>126.73060479228444</v>
      </c>
      <c r="G133" s="2">
        <f t="shared" si="30"/>
        <v>16060.646191018188</v>
      </c>
      <c r="H133" s="2">
        <f t="shared" si="31"/>
        <v>13.587195207715567</v>
      </c>
      <c r="I133" s="8">
        <f t="shared" si="32"/>
        <v>184.61187361256887</v>
      </c>
      <c r="K133" s="102"/>
      <c r="L133" s="103"/>
      <c r="M133" s="103"/>
      <c r="N133" s="103"/>
      <c r="O133" s="103"/>
      <c r="P133" s="2"/>
      <c r="Q133" s="2"/>
      <c r="R133" s="8"/>
    </row>
    <row r="134" spans="1:18" x14ac:dyDescent="0.35">
      <c r="A134" s="7">
        <v>69.66798</v>
      </c>
      <c r="B134" s="3">
        <v>125.5286</v>
      </c>
      <c r="C134" s="2">
        <f t="shared" si="26"/>
        <v>4853.6274372804</v>
      </c>
      <c r="D134" s="2">
        <f t="shared" si="27"/>
        <v>15757.42941796</v>
      </c>
      <c r="E134" s="2">
        <f t="shared" si="28"/>
        <v>8745.3239942279997</v>
      </c>
      <c r="F134" s="2">
        <f t="shared" si="29"/>
        <v>132.4210793365574</v>
      </c>
      <c r="G134" s="2">
        <f t="shared" si="30"/>
        <v>17535.342252658829</v>
      </c>
      <c r="H134" s="2">
        <f t="shared" si="31"/>
        <v>-6.8924793365574004</v>
      </c>
      <c r="I134" s="8">
        <f t="shared" si="32"/>
        <v>47.506271404870745</v>
      </c>
      <c r="K134" s="102"/>
      <c r="L134" s="103"/>
      <c r="M134" s="103"/>
      <c r="N134" s="103"/>
      <c r="O134" s="103"/>
      <c r="P134" s="2"/>
      <c r="Q134" s="2"/>
      <c r="R134" s="8"/>
    </row>
    <row r="135" spans="1:18" x14ac:dyDescent="0.35">
      <c r="A135" s="7">
        <v>62.750390000000003</v>
      </c>
      <c r="B135" s="3">
        <v>114.49</v>
      </c>
      <c r="C135" s="2">
        <f t="shared" si="26"/>
        <v>3937.6114451521003</v>
      </c>
      <c r="D135" s="2">
        <f t="shared" si="27"/>
        <v>13107.960099999998</v>
      </c>
      <c r="E135" s="2">
        <f t="shared" si="28"/>
        <v>7184.2921511000004</v>
      </c>
      <c r="F135" s="2">
        <f t="shared" si="29"/>
        <v>113.17849135757844</v>
      </c>
      <c r="G135" s="2">
        <f t="shared" si="30"/>
        <v>12809.370905977457</v>
      </c>
      <c r="H135" s="2">
        <f t="shared" si="31"/>
        <v>1.3115086424215576</v>
      </c>
      <c r="I135" s="8">
        <f t="shared" si="32"/>
        <v>1.7200549191464372</v>
      </c>
      <c r="K135" s="25"/>
      <c r="L135" s="2"/>
      <c r="M135" s="2"/>
      <c r="N135" s="2"/>
      <c r="O135" s="2"/>
      <c r="P135" s="2"/>
      <c r="Q135" s="2"/>
      <c r="R135" s="8"/>
    </row>
    <row r="136" spans="1:18" x14ac:dyDescent="0.35">
      <c r="A136" s="7">
        <v>64.538780000000003</v>
      </c>
      <c r="B136" s="3">
        <v>113.998</v>
      </c>
      <c r="C136" s="2">
        <f t="shared" si="26"/>
        <v>4165.2541238884005</v>
      </c>
      <c r="D136" s="2">
        <f t="shared" si="27"/>
        <v>12995.544004000001</v>
      </c>
      <c r="E136" s="2">
        <f t="shared" si="28"/>
        <v>7357.2918424400004</v>
      </c>
      <c r="F136" s="2">
        <f t="shared" si="29"/>
        <v>118.15323717450691</v>
      </c>
      <c r="G136" s="2">
        <f t="shared" si="30"/>
        <v>13960.187454815283</v>
      </c>
      <c r="H136" s="2">
        <f t="shared" si="31"/>
        <v>-4.1552371745069081</v>
      </c>
      <c r="I136" s="8">
        <f t="shared" si="32"/>
        <v>17.265995976404152</v>
      </c>
      <c r="K136" s="105" t="s">
        <v>86</v>
      </c>
      <c r="L136" s="106"/>
      <c r="M136" s="106"/>
      <c r="N136" s="106"/>
      <c r="O136" s="2">
        <f>ABS(L124/L125)</f>
        <v>7.8687029907408581</v>
      </c>
      <c r="P136" s="2"/>
      <c r="Q136" s="2"/>
      <c r="R136" s="8"/>
    </row>
    <row r="137" spans="1:18" x14ac:dyDescent="0.35">
      <c r="A137" s="7">
        <v>68.019289999999998</v>
      </c>
      <c r="B137" s="3">
        <v>117.1931</v>
      </c>
      <c r="C137" s="2">
        <f t="shared" si="26"/>
        <v>4626.6238121040997</v>
      </c>
      <c r="D137" s="2">
        <f t="shared" si="27"/>
        <v>13734.222687609999</v>
      </c>
      <c r="E137" s="2">
        <f t="shared" si="28"/>
        <v>7971.3914548989997</v>
      </c>
      <c r="F137" s="2">
        <f t="shared" si="29"/>
        <v>127.83493555309194</v>
      </c>
      <c r="G137" s="2">
        <f t="shared" si="30"/>
        <v>16341.770747863169</v>
      </c>
      <c r="H137" s="2">
        <f t="shared" si="31"/>
        <v>-10.641835553091937</v>
      </c>
      <c r="I137" s="8">
        <f t="shared" si="32"/>
        <v>113.24866393905157</v>
      </c>
      <c r="K137" s="105" t="s">
        <v>87</v>
      </c>
      <c r="L137" s="106"/>
      <c r="M137" s="106"/>
      <c r="N137" s="106"/>
      <c r="O137" s="2">
        <f>ABS(M124/M125)</f>
        <v>2.5553602787824219</v>
      </c>
      <c r="P137" s="2"/>
      <c r="Q137" s="2"/>
      <c r="R137" s="8"/>
    </row>
    <row r="138" spans="1:18" x14ac:dyDescent="0.35">
      <c r="A138" s="7">
        <v>66.385509999999996</v>
      </c>
      <c r="B138" s="3">
        <v>138.31559999999999</v>
      </c>
      <c r="C138" s="2">
        <f t="shared" si="26"/>
        <v>4407.0359379600995</v>
      </c>
      <c r="D138" s="2">
        <f t="shared" si="27"/>
        <v>19131.205203359998</v>
      </c>
      <c r="E138" s="2">
        <f t="shared" si="28"/>
        <v>9182.1516469559992</v>
      </c>
      <c r="F138" s="2">
        <f t="shared" si="29"/>
        <v>123.29026676117216</v>
      </c>
      <c r="G138" s="2">
        <f t="shared" si="30"/>
        <v>15200.489878040993</v>
      </c>
      <c r="H138" s="2">
        <f t="shared" si="31"/>
        <v>15.025333238827827</v>
      </c>
      <c r="I138" s="8">
        <f t="shared" si="32"/>
        <v>225.7606389378243</v>
      </c>
      <c r="K138" s="68" t="s">
        <v>69</v>
      </c>
      <c r="L138" s="32"/>
      <c r="M138" s="32"/>
      <c r="N138" s="32"/>
      <c r="O138" s="97">
        <f>_xlfn.T.INV(1-0.05, 198)</f>
        <v>1.6525857836178461</v>
      </c>
      <c r="P138" s="2"/>
      <c r="Q138" s="2"/>
      <c r="R138" s="8"/>
    </row>
    <row r="139" spans="1:18" x14ac:dyDescent="0.35">
      <c r="A139" s="7">
        <v>70.187240000000003</v>
      </c>
      <c r="B139" s="3">
        <v>122.3712</v>
      </c>
      <c r="C139" s="2">
        <f t="shared" si="26"/>
        <v>4926.2486588176007</v>
      </c>
      <c r="D139" s="2">
        <f t="shared" si="27"/>
        <v>14974.710589440001</v>
      </c>
      <c r="E139" s="2">
        <f t="shared" si="28"/>
        <v>8588.8967834880004</v>
      </c>
      <c r="F139" s="2">
        <f t="shared" si="29"/>
        <v>133.8654994646605</v>
      </c>
      <c r="G139" s="2">
        <f t="shared" si="30"/>
        <v>17919.971946923022</v>
      </c>
      <c r="H139" s="2">
        <f t="shared" si="31"/>
        <v>-11.4942994646605</v>
      </c>
      <c r="I139" s="8">
        <f t="shared" si="32"/>
        <v>132.11892018329465</v>
      </c>
      <c r="K139" s="68"/>
      <c r="L139" s="32"/>
      <c r="M139" s="32"/>
      <c r="N139" s="32"/>
      <c r="O139" s="97"/>
      <c r="P139" s="2"/>
      <c r="Q139" s="2"/>
      <c r="R139" s="8"/>
    </row>
    <row r="140" spans="1:18" x14ac:dyDescent="0.35">
      <c r="A140" s="7">
        <v>64.646000000000001</v>
      </c>
      <c r="B140" s="3">
        <v>132.94309999999999</v>
      </c>
      <c r="C140" s="2">
        <f t="shared" si="26"/>
        <v>4179.1053160000001</v>
      </c>
      <c r="D140" s="2">
        <f t="shared" si="27"/>
        <v>17673.867837609996</v>
      </c>
      <c r="E140" s="2">
        <f t="shared" si="28"/>
        <v>8594.2396425999996</v>
      </c>
      <c r="F140" s="2">
        <f t="shared" si="29"/>
        <v>118.45148993061217</v>
      </c>
      <c r="G140" s="2">
        <f t="shared" si="30"/>
        <v>14030.755466781917</v>
      </c>
      <c r="H140" s="2">
        <f t="shared" si="31"/>
        <v>14.491610069387818</v>
      </c>
      <c r="I140" s="8">
        <f t="shared" si="32"/>
        <v>210.00676240318239</v>
      </c>
      <c r="K140" s="25"/>
      <c r="L140" s="2"/>
      <c r="M140" s="2"/>
      <c r="N140" s="2"/>
      <c r="O140" s="2"/>
      <c r="P140" s="2"/>
      <c r="Q140" s="2"/>
      <c r="R140" s="8"/>
    </row>
    <row r="141" spans="1:18" x14ac:dyDescent="0.35">
      <c r="A141" s="7">
        <v>67.488190000000003</v>
      </c>
      <c r="B141" s="3">
        <v>124.0449</v>
      </c>
      <c r="C141" s="2">
        <f t="shared" si="26"/>
        <v>4554.6557894761008</v>
      </c>
      <c r="D141" s="2">
        <f t="shared" si="27"/>
        <v>15387.13721601</v>
      </c>
      <c r="E141" s="2">
        <f t="shared" si="28"/>
        <v>8371.5657797309996</v>
      </c>
      <c r="F141" s="2">
        <f t="shared" si="29"/>
        <v>126.35758022043483</v>
      </c>
      <c r="G141" s="2">
        <f t="shared" si="30"/>
        <v>15966.238079163622</v>
      </c>
      <c r="H141" s="2">
        <f t="shared" si="31"/>
        <v>-2.312680220434828</v>
      </c>
      <c r="I141" s="8">
        <f t="shared" si="32"/>
        <v>5.3484898019904845</v>
      </c>
      <c r="K141" s="102" t="s">
        <v>88</v>
      </c>
      <c r="L141" s="103"/>
      <c r="M141" s="103"/>
      <c r="N141" s="103"/>
      <c r="O141" s="103"/>
      <c r="P141" s="2"/>
      <c r="Q141" s="2"/>
      <c r="R141" s="8"/>
    </row>
    <row r="142" spans="1:18" x14ac:dyDescent="0.35">
      <c r="A142" s="7">
        <v>72.018069999999994</v>
      </c>
      <c r="B142" s="3">
        <v>144.1591</v>
      </c>
      <c r="C142" s="2">
        <f t="shared" si="26"/>
        <v>5186.6024065248994</v>
      </c>
      <c r="D142" s="2">
        <f t="shared" si="27"/>
        <v>20781.846112809999</v>
      </c>
      <c r="E142" s="2">
        <f t="shared" si="28"/>
        <v>10382.060154936999</v>
      </c>
      <c r="F142" s="2">
        <f t="shared" si="29"/>
        <v>138.958300187102</v>
      </c>
      <c r="G142" s="2">
        <f t="shared" si="30"/>
        <v>19309.409190888749</v>
      </c>
      <c r="H142" s="2">
        <f t="shared" si="31"/>
        <v>5.2007998128979978</v>
      </c>
      <c r="I142" s="8">
        <f t="shared" si="32"/>
        <v>27.04831869383985</v>
      </c>
      <c r="K142" s="109"/>
      <c r="L142" s="110"/>
      <c r="M142" s="110"/>
      <c r="N142" s="110"/>
      <c r="O142" s="110"/>
      <c r="P142" s="11"/>
      <c r="Q142" s="11"/>
      <c r="R142" s="12"/>
    </row>
    <row r="143" spans="1:18" x14ac:dyDescent="0.35">
      <c r="A143" s="7">
        <v>66.613560000000007</v>
      </c>
      <c r="B143" s="3">
        <v>115.4581</v>
      </c>
      <c r="C143" s="2">
        <f t="shared" si="26"/>
        <v>4437.3663758736011</v>
      </c>
      <c r="D143" s="2">
        <f t="shared" si="27"/>
        <v>13330.57285561</v>
      </c>
      <c r="E143" s="2">
        <f t="shared" si="28"/>
        <v>7691.0750718360005</v>
      </c>
      <c r="F143" s="2">
        <f t="shared" si="29"/>
        <v>123.92463106848244</v>
      </c>
      <c r="G143" s="2">
        <f t="shared" si="30"/>
        <v>15357.314185459483</v>
      </c>
      <c r="H143" s="2">
        <f t="shared" si="31"/>
        <v>-8.4665310684824391</v>
      </c>
      <c r="I143" s="8">
        <f t="shared" si="32"/>
        <v>71.682148333578397</v>
      </c>
    </row>
    <row r="144" spans="1:18" x14ac:dyDescent="0.35">
      <c r="A144" s="7">
        <v>65.818029999999993</v>
      </c>
      <c r="B144" s="3">
        <v>116.5192</v>
      </c>
      <c r="C144" s="2">
        <f t="shared" si="26"/>
        <v>4332.0130730808987</v>
      </c>
      <c r="D144" s="2">
        <f t="shared" si="27"/>
        <v>13576.723968639999</v>
      </c>
      <c r="E144" s="2">
        <f t="shared" si="28"/>
        <v>7669.0642011759992</v>
      </c>
      <c r="F144" s="2">
        <f t="shared" si="29"/>
        <v>121.71171356181937</v>
      </c>
      <c r="G144" s="2">
        <f t="shared" si="30"/>
        <v>14813.741218154364</v>
      </c>
      <c r="H144" s="2">
        <f t="shared" si="31"/>
        <v>-5.1925135618193679</v>
      </c>
      <c r="I144" s="8">
        <f t="shared" si="32"/>
        <v>26.962197089678057</v>
      </c>
    </row>
    <row r="145" spans="1:18" x14ac:dyDescent="0.35">
      <c r="A145" s="7">
        <v>71.161850000000001</v>
      </c>
      <c r="B145" s="3">
        <v>139.6139</v>
      </c>
      <c r="C145" s="2">
        <f t="shared" si="26"/>
        <v>5064.0088954225002</v>
      </c>
      <c r="D145" s="2">
        <f t="shared" si="27"/>
        <v>19492.041073209999</v>
      </c>
      <c r="E145" s="2">
        <f t="shared" si="28"/>
        <v>9935.1834097150004</v>
      </c>
      <c r="F145" s="2">
        <f t="shared" si="29"/>
        <v>136.57656194020365</v>
      </c>
      <c r="G145" s="2">
        <f t="shared" si="30"/>
        <v>18653.157271406282</v>
      </c>
      <c r="H145" s="2">
        <f t="shared" si="31"/>
        <v>3.0373380597963546</v>
      </c>
      <c r="I145" s="8">
        <f t="shared" si="32"/>
        <v>9.2254224894874834</v>
      </c>
      <c r="K145" s="99" t="s">
        <v>89</v>
      </c>
      <c r="L145" s="100"/>
      <c r="M145" s="100"/>
      <c r="N145" s="100"/>
      <c r="O145" s="100"/>
      <c r="P145" s="100"/>
      <c r="Q145" s="100"/>
      <c r="R145" s="101"/>
    </row>
    <row r="146" spans="1:18" x14ac:dyDescent="0.35">
      <c r="A146" s="7">
        <v>68.519769999999994</v>
      </c>
      <c r="B146" s="3">
        <v>133.2364</v>
      </c>
      <c r="C146" s="2">
        <f t="shared" si="26"/>
        <v>4694.9588808528988</v>
      </c>
      <c r="D146" s="2">
        <f t="shared" si="27"/>
        <v>17751.938284960001</v>
      </c>
      <c r="E146" s="2">
        <f t="shared" si="28"/>
        <v>9129.3274836279998</v>
      </c>
      <c r="F146" s="2">
        <f t="shared" si="29"/>
        <v>129.22711555099863</v>
      </c>
      <c r="G146" s="2">
        <f t="shared" si="30"/>
        <v>16699.647393631152</v>
      </c>
      <c r="H146" s="2">
        <f t="shared" si="31"/>
        <v>4.0092844490013704</v>
      </c>
      <c r="I146" s="8">
        <f t="shared" si="32"/>
        <v>16.074361793004222</v>
      </c>
      <c r="K146" s="102"/>
      <c r="L146" s="103"/>
      <c r="M146" s="103"/>
      <c r="N146" s="103"/>
      <c r="O146" s="103"/>
      <c r="P146" s="103"/>
      <c r="Q146" s="103"/>
      <c r="R146" s="104"/>
    </row>
    <row r="147" spans="1:18" x14ac:dyDescent="0.35">
      <c r="A147" s="7">
        <v>64.960880000000003</v>
      </c>
      <c r="B147" s="3">
        <v>120.02500000000001</v>
      </c>
      <c r="C147" s="2">
        <f t="shared" si="26"/>
        <v>4219.9159303744</v>
      </c>
      <c r="D147" s="2">
        <f t="shared" si="27"/>
        <v>14406.000625000001</v>
      </c>
      <c r="E147" s="2">
        <f t="shared" si="28"/>
        <v>7796.9296220000006</v>
      </c>
      <c r="F147" s="2">
        <f t="shared" si="29"/>
        <v>119.32738834361741</v>
      </c>
      <c r="G147" s="2">
        <f t="shared" si="30"/>
        <v>14239.025608908481</v>
      </c>
      <c r="H147" s="2">
        <f t="shared" si="31"/>
        <v>0.69761165638259115</v>
      </c>
      <c r="I147" s="8">
        <f t="shared" si="32"/>
        <v>0.48666202312086243</v>
      </c>
      <c r="K147" s="102"/>
      <c r="L147" s="103"/>
      <c r="M147" s="103"/>
      <c r="N147" s="103"/>
      <c r="O147" s="103"/>
      <c r="P147" s="103"/>
      <c r="Q147" s="103"/>
      <c r="R147" s="104"/>
    </row>
    <row r="148" spans="1:18" x14ac:dyDescent="0.35">
      <c r="A148" s="7">
        <v>66.882679999999993</v>
      </c>
      <c r="B148" s="3">
        <v>123.11109999999999</v>
      </c>
      <c r="C148" s="2">
        <f t="shared" si="26"/>
        <v>4473.292883982399</v>
      </c>
      <c r="D148" s="2">
        <f t="shared" si="27"/>
        <v>15156.342943209998</v>
      </c>
      <c r="E148" s="2">
        <f t="shared" si="28"/>
        <v>8234.0003057479989</v>
      </c>
      <c r="F148" s="2">
        <f t="shared" si="29"/>
        <v>124.6732393665895</v>
      </c>
      <c r="G148" s="2">
        <f t="shared" si="30"/>
        <v>15543.416614158921</v>
      </c>
      <c r="H148" s="2">
        <f t="shared" si="31"/>
        <v>-1.5621393665895056</v>
      </c>
      <c r="I148" s="8">
        <f t="shared" si="32"/>
        <v>2.4402794006486617</v>
      </c>
      <c r="K148" s="102"/>
      <c r="L148" s="103"/>
      <c r="M148" s="103"/>
      <c r="N148" s="103"/>
      <c r="O148" s="103"/>
      <c r="P148" s="103"/>
      <c r="Q148" s="103"/>
      <c r="R148" s="104"/>
    </row>
    <row r="149" spans="1:18" x14ac:dyDescent="0.35">
      <c r="A149" s="7">
        <v>70.353099999999998</v>
      </c>
      <c r="B149" s="3">
        <v>132.84620000000001</v>
      </c>
      <c r="C149" s="2">
        <f t="shared" si="26"/>
        <v>4949.5586796099997</v>
      </c>
      <c r="D149" s="2">
        <f t="shared" si="27"/>
        <v>17648.112854440002</v>
      </c>
      <c r="E149" s="2">
        <f t="shared" si="28"/>
        <v>9346.1419932200006</v>
      </c>
      <c r="F149" s="2">
        <f t="shared" si="29"/>
        <v>134.32687049737467</v>
      </c>
      <c r="G149" s="2">
        <f t="shared" si="30"/>
        <v>18043.708137618465</v>
      </c>
      <c r="H149" s="2">
        <f t="shared" si="31"/>
        <v>-1.4806704973746605</v>
      </c>
      <c r="I149" s="8">
        <f t="shared" si="32"/>
        <v>2.1923851217957244</v>
      </c>
      <c r="K149" s="102"/>
      <c r="L149" s="103"/>
      <c r="M149" s="103"/>
      <c r="N149" s="103"/>
      <c r="O149" s="103"/>
      <c r="P149" s="103"/>
      <c r="Q149" s="103"/>
      <c r="R149" s="104"/>
    </row>
    <row r="150" spans="1:18" x14ac:dyDescent="0.35">
      <c r="A150" s="7">
        <v>67.717439999999996</v>
      </c>
      <c r="B150" s="3">
        <v>120.9359</v>
      </c>
      <c r="C150" s="2">
        <f t="shared" si="26"/>
        <v>4585.651680153599</v>
      </c>
      <c r="D150" s="2">
        <f t="shared" si="27"/>
        <v>14625.491908810001</v>
      </c>
      <c r="E150" s="2">
        <f t="shared" si="28"/>
        <v>8189.4695520959995</v>
      </c>
      <c r="F150" s="2">
        <f t="shared" si="29"/>
        <v>126.9952825552336</v>
      </c>
      <c r="G150" s="2">
        <f t="shared" si="30"/>
        <v>16127.80179128362</v>
      </c>
      <c r="H150" s="2">
        <f t="shared" si="31"/>
        <v>-6.0593825552335971</v>
      </c>
      <c r="I150" s="8">
        <f t="shared" si="32"/>
        <v>36.716116950669239</v>
      </c>
      <c r="K150" s="109"/>
      <c r="L150" s="110"/>
      <c r="M150" s="110"/>
      <c r="N150" s="110"/>
      <c r="O150" s="110"/>
      <c r="P150" s="110"/>
      <c r="Q150" s="110"/>
      <c r="R150" s="111"/>
    </row>
    <row r="151" spans="1:18" x14ac:dyDescent="0.35">
      <c r="A151" s="7">
        <v>66.033330000000007</v>
      </c>
      <c r="B151" s="3">
        <v>129.77019999999999</v>
      </c>
      <c r="C151" s="2">
        <f t="shared" si="26"/>
        <v>4360.400670888901</v>
      </c>
      <c r="D151" s="2">
        <f t="shared" si="27"/>
        <v>16840.304808039997</v>
      </c>
      <c r="E151" s="2">
        <f t="shared" si="28"/>
        <v>8569.1584407659993</v>
      </c>
      <c r="F151" s="2">
        <f t="shared" si="29"/>
        <v>122.31061132706337</v>
      </c>
      <c r="G151" s="2">
        <f t="shared" si="30"/>
        <v>14959.885643199963</v>
      </c>
      <c r="H151" s="2">
        <f t="shared" si="31"/>
        <v>7.4595886729366185</v>
      </c>
      <c r="I151" s="8">
        <f t="shared" si="32"/>
        <v>55.645463169404302</v>
      </c>
    </row>
    <row r="152" spans="1:18" x14ac:dyDescent="0.35">
      <c r="A152" s="7">
        <v>68.982600000000005</v>
      </c>
      <c r="B152" s="3">
        <v>136.9118</v>
      </c>
      <c r="C152" s="2">
        <f t="shared" si="26"/>
        <v>4758.5991027600003</v>
      </c>
      <c r="D152" s="2">
        <f t="shared" si="27"/>
        <v>18744.840979240002</v>
      </c>
      <c r="E152" s="2">
        <f t="shared" si="28"/>
        <v>9444.5319346800006</v>
      </c>
      <c r="F152" s="2">
        <f t="shared" si="29"/>
        <v>130.51456493645094</v>
      </c>
      <c r="G152" s="2">
        <f t="shared" si="30"/>
        <v>17034.051660551067</v>
      </c>
      <c r="H152" s="2">
        <f t="shared" si="31"/>
        <v>6.3972350635490614</v>
      </c>
      <c r="I152" s="8">
        <f t="shared" si="32"/>
        <v>40.924616458301564</v>
      </c>
    </row>
    <row r="153" spans="1:18" x14ac:dyDescent="0.35">
      <c r="A153" s="7">
        <v>68.602369999999993</v>
      </c>
      <c r="B153" s="3">
        <v>131.12100000000001</v>
      </c>
      <c r="C153" s="2">
        <f t="shared" si="26"/>
        <v>4706.2851696168991</v>
      </c>
      <c r="D153" s="2">
        <f t="shared" si="27"/>
        <v>17192.716641000003</v>
      </c>
      <c r="E153" s="2">
        <f t="shared" si="28"/>
        <v>8995.2113567699998</v>
      </c>
      <c r="F153" s="2">
        <f t="shared" si="29"/>
        <v>129.45688310979637</v>
      </c>
      <c r="G153" s="2">
        <f t="shared" si="30"/>
        <v>16759.084584503478</v>
      </c>
      <c r="H153" s="2">
        <f t="shared" si="31"/>
        <v>1.6641168902036441</v>
      </c>
      <c r="I153" s="8">
        <f t="shared" si="32"/>
        <v>2.7692850242610469</v>
      </c>
    </row>
    <row r="154" spans="1:18" x14ac:dyDescent="0.35">
      <c r="A154" s="7">
        <v>66.840800000000002</v>
      </c>
      <c r="B154" s="3">
        <v>133.48400000000001</v>
      </c>
      <c r="C154" s="2">
        <f t="shared" si="26"/>
        <v>4467.6925446400001</v>
      </c>
      <c r="D154" s="2">
        <f t="shared" si="27"/>
        <v>17817.978256000002</v>
      </c>
      <c r="E154" s="2">
        <f t="shared" si="28"/>
        <v>8922.1773472000004</v>
      </c>
      <c r="F154" s="2">
        <f t="shared" si="29"/>
        <v>124.55674220723783</v>
      </c>
      <c r="G154" s="2">
        <f t="shared" si="30"/>
        <v>15514.382029280303</v>
      </c>
      <c r="H154" s="2">
        <f t="shared" si="31"/>
        <v>8.9272577927621768</v>
      </c>
      <c r="I154" s="8">
        <f t="shared" si="32"/>
        <v>79.695931698433014</v>
      </c>
    </row>
    <row r="155" spans="1:18" x14ac:dyDescent="0.35">
      <c r="A155" s="7">
        <v>68.036590000000004</v>
      </c>
      <c r="B155" s="3">
        <v>136.3871</v>
      </c>
      <c r="C155" s="2">
        <f t="shared" si="26"/>
        <v>4628.9775788281004</v>
      </c>
      <c r="D155" s="2">
        <f t="shared" si="27"/>
        <v>18601.44104641</v>
      </c>
      <c r="E155" s="2">
        <f t="shared" si="28"/>
        <v>9279.3132039890006</v>
      </c>
      <c r="F155" s="2">
        <f t="shared" si="29"/>
        <v>127.88305878271909</v>
      </c>
      <c r="G155" s="2">
        <f t="shared" si="30"/>
        <v>16354.076723624386</v>
      </c>
      <c r="H155" s="2">
        <f t="shared" si="31"/>
        <v>8.5040412172809141</v>
      </c>
      <c r="I155" s="8">
        <f t="shared" si="32"/>
        <v>72.318717025212649</v>
      </c>
    </row>
    <row r="156" spans="1:18" x14ac:dyDescent="0.35">
      <c r="A156" s="7">
        <v>64.795860000000005</v>
      </c>
      <c r="B156" s="3">
        <v>131.45590000000001</v>
      </c>
      <c r="C156" s="2">
        <f t="shared" si="26"/>
        <v>4198.5034731396008</v>
      </c>
      <c r="D156" s="2">
        <f t="shared" si="27"/>
        <v>17280.653644810005</v>
      </c>
      <c r="E156" s="2">
        <f t="shared" si="28"/>
        <v>8517.7980925740012</v>
      </c>
      <c r="F156" s="2">
        <f t="shared" si="29"/>
        <v>118.8683539301452</v>
      </c>
      <c r="G156" s="2">
        <f t="shared" si="30"/>
        <v>14129.685566062268</v>
      </c>
      <c r="H156" s="2">
        <f t="shared" si="31"/>
        <v>12.58754606985481</v>
      </c>
      <c r="I156" s="8">
        <f t="shared" si="32"/>
        <v>158.44631606071727</v>
      </c>
    </row>
    <row r="157" spans="1:18" x14ac:dyDescent="0.35">
      <c r="A157" s="7">
        <v>70.551259999999999</v>
      </c>
      <c r="B157" s="3">
        <v>126.1986</v>
      </c>
      <c r="C157" s="2">
        <f t="shared" si="26"/>
        <v>4977.4802875876003</v>
      </c>
      <c r="D157" s="2">
        <f t="shared" si="27"/>
        <v>15926.086641960001</v>
      </c>
      <c r="E157" s="2">
        <f t="shared" si="28"/>
        <v>8903.4702402359999</v>
      </c>
      <c r="F157" s="2">
        <f t="shared" si="29"/>
        <v>134.87809010332336</v>
      </c>
      <c r="G157" s="2">
        <f t="shared" si="30"/>
        <v>18192.099189920216</v>
      </c>
      <c r="H157" s="2">
        <f t="shared" si="31"/>
        <v>-8.67949010332336</v>
      </c>
      <c r="I157" s="8">
        <f t="shared" si="32"/>
        <v>75.333548453688152</v>
      </c>
    </row>
    <row r="158" spans="1:18" x14ac:dyDescent="0.35">
      <c r="A158" s="7">
        <v>68.281660000000002</v>
      </c>
      <c r="B158" s="3">
        <v>115.04600000000001</v>
      </c>
      <c r="C158" s="2">
        <f t="shared" si="26"/>
        <v>4662.3850923556001</v>
      </c>
      <c r="D158" s="2">
        <f t="shared" si="27"/>
        <v>13235.582116000001</v>
      </c>
      <c r="E158" s="2">
        <f t="shared" si="28"/>
        <v>7855.5318563600003</v>
      </c>
      <c r="F158" s="2">
        <f t="shared" si="29"/>
        <v>128.56476744657579</v>
      </c>
      <c r="G158" s="2">
        <f t="shared" si="30"/>
        <v>16528.899428592114</v>
      </c>
      <c r="H158" s="2">
        <f t="shared" si="31"/>
        <v>-13.518767446575779</v>
      </c>
      <c r="I158" s="8">
        <f t="shared" si="32"/>
        <v>182.75707327459702</v>
      </c>
    </row>
    <row r="159" spans="1:18" x14ac:dyDescent="0.35">
      <c r="A159" s="7">
        <v>68.775739999999999</v>
      </c>
      <c r="B159" s="3">
        <v>130.31780000000001</v>
      </c>
      <c r="C159" s="2">
        <f t="shared" si="26"/>
        <v>4730.1024125475997</v>
      </c>
      <c r="D159" s="2">
        <f t="shared" si="27"/>
        <v>16982.72899684</v>
      </c>
      <c r="E159" s="2">
        <f t="shared" si="28"/>
        <v>8962.7031301719999</v>
      </c>
      <c r="F159" s="2">
        <f t="shared" si="29"/>
        <v>129.93914463121001</v>
      </c>
      <c r="G159" s="2">
        <f t="shared" si="30"/>
        <v>16884.181307490515</v>
      </c>
      <c r="H159" s="2">
        <f t="shared" si="31"/>
        <v>0.37865536878999251</v>
      </c>
      <c r="I159" s="8">
        <f t="shared" si="32"/>
        <v>0.14337988831348522</v>
      </c>
    </row>
    <row r="160" spans="1:18" x14ac:dyDescent="0.35">
      <c r="A160" s="7">
        <v>67.093149999999994</v>
      </c>
      <c r="B160" s="3">
        <v>131.69540000000001</v>
      </c>
      <c r="C160" s="2">
        <f t="shared" si="26"/>
        <v>4501.4907769224992</v>
      </c>
      <c r="D160" s="2">
        <f t="shared" si="27"/>
        <v>17343.678381160003</v>
      </c>
      <c r="E160" s="2">
        <f t="shared" si="28"/>
        <v>8835.8592265099996</v>
      </c>
      <c r="F160" s="2">
        <f t="shared" si="29"/>
        <v>125.25870157119193</v>
      </c>
      <c r="G160" s="2">
        <f t="shared" si="30"/>
        <v>15689.742319300922</v>
      </c>
      <c r="H160" s="2">
        <f t="shared" si="31"/>
        <v>6.4366984288080715</v>
      </c>
      <c r="I160" s="8">
        <f t="shared" si="32"/>
        <v>41.431086663420295</v>
      </c>
    </row>
    <row r="161" spans="1:9" x14ac:dyDescent="0.35">
      <c r="A161" s="7">
        <v>70.143029999999996</v>
      </c>
      <c r="B161" s="3">
        <v>135.65190000000001</v>
      </c>
      <c r="C161" s="2">
        <f t="shared" si="26"/>
        <v>4920.0446575808992</v>
      </c>
      <c r="D161" s="2">
        <f t="shared" si="27"/>
        <v>18401.437973610002</v>
      </c>
      <c r="E161" s="2">
        <f t="shared" si="28"/>
        <v>9515.0352912569997</v>
      </c>
      <c r="F161" s="2">
        <f t="shared" si="29"/>
        <v>133.74252096860181</v>
      </c>
      <c r="G161" s="2">
        <f t="shared" si="30"/>
        <v>17887.061915036895</v>
      </c>
      <c r="H161" s="2">
        <f t="shared" si="31"/>
        <v>1.9093790313982026</v>
      </c>
      <c r="I161" s="8">
        <f t="shared" si="32"/>
        <v>3.6457282855431385</v>
      </c>
    </row>
    <row r="162" spans="1:9" x14ac:dyDescent="0.35">
      <c r="A162" s="7">
        <v>65.468329999999995</v>
      </c>
      <c r="B162" s="3">
        <v>120.30289999999999</v>
      </c>
      <c r="C162" s="2">
        <f t="shared" si="26"/>
        <v>4286.1022329888992</v>
      </c>
      <c r="D162" s="2">
        <f t="shared" si="27"/>
        <v>14472.787748409999</v>
      </c>
      <c r="E162" s="2">
        <f t="shared" si="28"/>
        <v>7876.0299571569985</v>
      </c>
      <c r="F162" s="2">
        <f t="shared" si="29"/>
        <v>120.73895671785361</v>
      </c>
      <c r="G162" s="2">
        <f t="shared" si="30"/>
        <v>14577.895669315727</v>
      </c>
      <c r="H162" s="2">
        <f t="shared" si="31"/>
        <v>-0.43605671785361722</v>
      </c>
      <c r="I162" s="8">
        <f t="shared" si="32"/>
        <v>0.19014546118526912</v>
      </c>
    </row>
    <row r="163" spans="1:9" x14ac:dyDescent="0.35">
      <c r="A163" s="7">
        <v>69.022750000000002</v>
      </c>
      <c r="B163" s="3">
        <v>129.14420000000001</v>
      </c>
      <c r="C163" s="2">
        <f t="shared" si="26"/>
        <v>4764.1400175625004</v>
      </c>
      <c r="D163" s="2">
        <f t="shared" si="27"/>
        <v>16678.224393640005</v>
      </c>
      <c r="E163" s="2">
        <f t="shared" si="28"/>
        <v>8913.8878305500002</v>
      </c>
      <c r="F163" s="2">
        <f t="shared" si="29"/>
        <v>130.62624977283991</v>
      </c>
      <c r="G163" s="2">
        <f t="shared" si="30"/>
        <v>17063.217129716359</v>
      </c>
      <c r="H163" s="2">
        <f t="shared" si="31"/>
        <v>-1.4820497728399005</v>
      </c>
      <c r="I163" s="8">
        <f t="shared" si="32"/>
        <v>2.1964715291748007</v>
      </c>
    </row>
    <row r="164" spans="1:9" x14ac:dyDescent="0.35">
      <c r="A164" s="7">
        <v>74.248990000000006</v>
      </c>
      <c r="B164" s="3">
        <v>150.2167</v>
      </c>
      <c r="C164" s="2">
        <f t="shared" si="26"/>
        <v>5512.9125160201011</v>
      </c>
      <c r="D164" s="2">
        <f t="shared" si="27"/>
        <v>22565.05695889</v>
      </c>
      <c r="E164" s="2">
        <f t="shared" si="28"/>
        <v>11153.438256133</v>
      </c>
      <c r="F164" s="2">
        <f t="shared" si="29"/>
        <v>145.16402709113419</v>
      </c>
      <c r="G164" s="2">
        <f t="shared" si="30"/>
        <v>21072.59476131554</v>
      </c>
      <c r="H164" s="2">
        <f t="shared" si="31"/>
        <v>5.0526729088658158</v>
      </c>
      <c r="I164" s="8">
        <f t="shared" si="32"/>
        <v>25.529503523986545</v>
      </c>
    </row>
    <row r="165" spans="1:9" x14ac:dyDescent="0.35">
      <c r="A165" s="7">
        <v>64.085750000000004</v>
      </c>
      <c r="B165" s="3">
        <v>120.2076</v>
      </c>
      <c r="C165" s="2">
        <f t="shared" si="26"/>
        <v>4106.983353062501</v>
      </c>
      <c r="D165" s="2">
        <f t="shared" si="27"/>
        <v>14449.86709776</v>
      </c>
      <c r="E165" s="2">
        <f t="shared" si="28"/>
        <v>7703.5942017000007</v>
      </c>
      <c r="F165" s="2">
        <f t="shared" si="29"/>
        <v>116.8930483468781</v>
      </c>
      <c r="G165" s="2">
        <f t="shared" si="30"/>
        <v>13663.984751825581</v>
      </c>
      <c r="H165" s="2">
        <f t="shared" si="31"/>
        <v>3.3145516531218959</v>
      </c>
      <c r="I165" s="8">
        <f t="shared" si="32"/>
        <v>10.986252661213094</v>
      </c>
    </row>
    <row r="166" spans="1:9" x14ac:dyDescent="0.35">
      <c r="A166" s="7">
        <v>67.579769999999996</v>
      </c>
      <c r="B166" s="3">
        <v>132.15299999999999</v>
      </c>
      <c r="C166" s="2">
        <f t="shared" si="26"/>
        <v>4567.0253132528997</v>
      </c>
      <c r="D166" s="2">
        <f t="shared" si="27"/>
        <v>17464.415408999997</v>
      </c>
      <c r="E166" s="2">
        <f t="shared" si="28"/>
        <v>8930.8693448099984</v>
      </c>
      <c r="F166" s="2">
        <f t="shared" si="29"/>
        <v>126.61232735160546</v>
      </c>
      <c r="G166" s="2">
        <f t="shared" si="30"/>
        <v>16030.6814373901</v>
      </c>
      <c r="H166" s="2">
        <f t="shared" si="31"/>
        <v>5.5406726483945334</v>
      </c>
      <c r="I166" s="8">
        <f t="shared" si="32"/>
        <v>30.699053396667292</v>
      </c>
    </row>
    <row r="167" spans="1:9" x14ac:dyDescent="0.35">
      <c r="A167" s="7">
        <v>69.193950000000001</v>
      </c>
      <c r="B167" s="3">
        <v>132.12469999999999</v>
      </c>
      <c r="C167" s="2">
        <f t="shared" si="26"/>
        <v>4787.8027166025004</v>
      </c>
      <c r="D167" s="2">
        <f t="shared" si="27"/>
        <v>17456.936350089996</v>
      </c>
      <c r="E167" s="2">
        <f t="shared" si="28"/>
        <v>9142.2298855649988</v>
      </c>
      <c r="F167" s="2">
        <f t="shared" si="29"/>
        <v>131.10247502787831</v>
      </c>
      <c r="G167" s="2">
        <f t="shared" si="30"/>
        <v>17187.858958435456</v>
      </c>
      <c r="H167" s="2">
        <f t="shared" si="31"/>
        <v>1.022224972121677</v>
      </c>
      <c r="I167" s="8">
        <f t="shared" si="32"/>
        <v>1.0449438936291633</v>
      </c>
    </row>
    <row r="168" spans="1:9" x14ac:dyDescent="0.35">
      <c r="A168" s="7">
        <v>64.486149999999995</v>
      </c>
      <c r="B168" s="3">
        <v>119.5029</v>
      </c>
      <c r="C168" s="2">
        <f t="shared" si="26"/>
        <v>4158.4635418224998</v>
      </c>
      <c r="D168" s="2">
        <f t="shared" si="27"/>
        <v>14280.94310841</v>
      </c>
      <c r="E168" s="2">
        <f t="shared" si="28"/>
        <v>7706.2819348349994</v>
      </c>
      <c r="F168" s="2">
        <f t="shared" si="29"/>
        <v>118.00683685223662</v>
      </c>
      <c r="G168" s="2">
        <f t="shared" si="30"/>
        <v>13925.61354387039</v>
      </c>
      <c r="H168" s="2">
        <f t="shared" si="31"/>
        <v>1.4960631477633797</v>
      </c>
      <c r="I168" s="8">
        <f t="shared" si="32"/>
        <v>2.2382049420956722</v>
      </c>
    </row>
    <row r="169" spans="1:9" x14ac:dyDescent="0.35">
      <c r="A169" s="7">
        <v>68.758880000000005</v>
      </c>
      <c r="B169" s="3">
        <v>136.7629</v>
      </c>
      <c r="C169" s="2">
        <f t="shared" si="26"/>
        <v>4727.7835788544007</v>
      </c>
      <c r="D169" s="2">
        <f t="shared" si="27"/>
        <v>18704.09081641</v>
      </c>
      <c r="E169" s="2">
        <f t="shared" si="28"/>
        <v>9403.6638295520006</v>
      </c>
      <c r="F169" s="2">
        <f t="shared" si="29"/>
        <v>129.89224534499539</v>
      </c>
      <c r="G169" s="2">
        <f t="shared" si="30"/>
        <v>16871.995400764477</v>
      </c>
      <c r="H169" s="2">
        <f t="shared" si="31"/>
        <v>6.8706546550046141</v>
      </c>
      <c r="I169" s="8">
        <f t="shared" si="32"/>
        <v>47.205895388336572</v>
      </c>
    </row>
    <row r="170" spans="1:9" x14ac:dyDescent="0.35">
      <c r="A170" s="7">
        <v>68.451840000000004</v>
      </c>
      <c r="B170" s="3">
        <v>147.78460000000001</v>
      </c>
      <c r="C170" s="2">
        <f t="shared" si="26"/>
        <v>4685.6543993856003</v>
      </c>
      <c r="D170" s="2">
        <f t="shared" si="27"/>
        <v>21840.287997160005</v>
      </c>
      <c r="E170" s="2">
        <f t="shared" si="28"/>
        <v>10116.127793664002</v>
      </c>
      <c r="F170" s="2">
        <f t="shared" si="29"/>
        <v>129.03815537824892</v>
      </c>
      <c r="G170" s="2">
        <f t="shared" si="30"/>
        <v>16650.84554342111</v>
      </c>
      <c r="H170" s="2">
        <f t="shared" si="31"/>
        <v>18.746444621751095</v>
      </c>
      <c r="I170" s="8">
        <f t="shared" si="32"/>
        <v>351.42918595638059</v>
      </c>
    </row>
    <row r="171" spans="1:9" x14ac:dyDescent="0.35">
      <c r="A171" s="7">
        <v>66.442049999999995</v>
      </c>
      <c r="B171" s="3">
        <v>145.5992</v>
      </c>
      <c r="C171" s="2">
        <f t="shared" si="26"/>
        <v>4414.5460082024993</v>
      </c>
      <c r="D171" s="2">
        <f t="shared" si="27"/>
        <v>21199.12704064</v>
      </c>
      <c r="E171" s="2">
        <f t="shared" si="28"/>
        <v>9673.9093263599989</v>
      </c>
      <c r="F171" s="2">
        <f t="shared" si="29"/>
        <v>123.44754348967608</v>
      </c>
      <c r="G171" s="2">
        <f t="shared" si="30"/>
        <v>15239.295993635467</v>
      </c>
      <c r="H171" s="2">
        <f t="shared" si="31"/>
        <v>22.151656510323917</v>
      </c>
      <c r="I171" s="8">
        <f t="shared" si="32"/>
        <v>490.69588615137599</v>
      </c>
    </row>
    <row r="172" spans="1:9" x14ac:dyDescent="0.35">
      <c r="A172" s="7">
        <v>70.175600000000003</v>
      </c>
      <c r="B172" s="3">
        <v>124.9662</v>
      </c>
      <c r="C172" s="2">
        <f t="shared" si="26"/>
        <v>4924.6148353600001</v>
      </c>
      <c r="D172" s="2">
        <f t="shared" si="27"/>
        <v>15616.551142440001</v>
      </c>
      <c r="E172" s="2">
        <f t="shared" si="28"/>
        <v>8769.5780647200008</v>
      </c>
      <c r="F172" s="2">
        <f t="shared" si="29"/>
        <v>133.8331205980212</v>
      </c>
      <c r="G172" s="2">
        <f t="shared" si="30"/>
        <v>17911.304169004485</v>
      </c>
      <c r="H172" s="2">
        <f t="shared" si="31"/>
        <v>-8.8669205980211956</v>
      </c>
      <c r="I172" s="8">
        <f t="shared" si="32"/>
        <v>78.622280891612562</v>
      </c>
    </row>
    <row r="173" spans="1:9" x14ac:dyDescent="0.35">
      <c r="A173" s="7">
        <v>67.138599999999997</v>
      </c>
      <c r="B173" s="3">
        <v>127.902</v>
      </c>
      <c r="C173" s="2">
        <f t="shared" si="26"/>
        <v>4507.5916099599999</v>
      </c>
      <c r="D173" s="2">
        <f t="shared" si="27"/>
        <v>16358.921604000001</v>
      </c>
      <c r="E173" s="2">
        <f t="shared" si="28"/>
        <v>8587.1612172000005</v>
      </c>
      <c r="F173" s="2">
        <f t="shared" si="29"/>
        <v>125.38512936232219</v>
      </c>
      <c r="G173" s="2">
        <f t="shared" si="30"/>
        <v>15721.43066520627</v>
      </c>
      <c r="H173" s="2">
        <f t="shared" si="31"/>
        <v>2.5168706376778118</v>
      </c>
      <c r="I173" s="8">
        <f t="shared" si="32"/>
        <v>6.3346378068047153</v>
      </c>
    </row>
    <row r="174" spans="1:9" x14ac:dyDescent="0.35">
      <c r="A174" s="7">
        <v>66.915480000000002</v>
      </c>
      <c r="B174" s="3">
        <v>125.9147</v>
      </c>
      <c r="C174" s="2">
        <f t="shared" si="26"/>
        <v>4477.6814636304007</v>
      </c>
      <c r="D174" s="2">
        <f t="shared" si="27"/>
        <v>15854.511676089998</v>
      </c>
      <c r="E174" s="2">
        <f t="shared" si="28"/>
        <v>8425.6425895560005</v>
      </c>
      <c r="F174" s="2">
        <f t="shared" si="29"/>
        <v>124.76447878461092</v>
      </c>
      <c r="G174" s="2">
        <f t="shared" si="30"/>
        <v>15566.175166395627</v>
      </c>
      <c r="H174" s="2">
        <f t="shared" si="31"/>
        <v>1.150221215389081</v>
      </c>
      <c r="I174" s="8">
        <f t="shared" si="32"/>
        <v>1.3230088443311345</v>
      </c>
    </row>
    <row r="175" spans="1:9" x14ac:dyDescent="0.35">
      <c r="A175" s="7">
        <v>68.633570000000006</v>
      </c>
      <c r="B175" s="3">
        <v>109.68210000000001</v>
      </c>
      <c r="C175" s="2">
        <f t="shared" si="26"/>
        <v>4710.5669309449004</v>
      </c>
      <c r="D175" s="2">
        <f t="shared" si="27"/>
        <v>12030.163060410001</v>
      </c>
      <c r="E175" s="2">
        <f t="shared" si="28"/>
        <v>7527.8740880970008</v>
      </c>
      <c r="F175" s="2">
        <f t="shared" si="29"/>
        <v>129.54367182449965</v>
      </c>
      <c r="G175" s="2">
        <f t="shared" si="30"/>
        <v>16781.562909773667</v>
      </c>
      <c r="H175" s="2">
        <f t="shared" si="31"/>
        <v>-19.861571824499649</v>
      </c>
      <c r="I175" s="8">
        <f t="shared" si="32"/>
        <v>394.48203533975828</v>
      </c>
    </row>
    <row r="176" spans="1:9" x14ac:dyDescent="0.35">
      <c r="A176" s="7">
        <v>66.956969999999998</v>
      </c>
      <c r="B176" s="3">
        <v>107.77330000000001</v>
      </c>
      <c r="C176" s="2">
        <f t="shared" si="26"/>
        <v>4483.2358315808997</v>
      </c>
      <c r="D176" s="2">
        <f t="shared" si="27"/>
        <v>11615.084192890001</v>
      </c>
      <c r="E176" s="2">
        <f t="shared" si="28"/>
        <v>7216.1736149010003</v>
      </c>
      <c r="F176" s="2">
        <f t="shared" si="29"/>
        <v>124.8798910850288</v>
      </c>
      <c r="G176" s="2">
        <f t="shared" si="30"/>
        <v>15594.987197408656</v>
      </c>
      <c r="H176" s="2">
        <f t="shared" si="31"/>
        <v>-17.106591085028796</v>
      </c>
      <c r="I176" s="8">
        <f t="shared" si="32"/>
        <v>292.63545855038672</v>
      </c>
    </row>
    <row r="177" spans="1:9" x14ac:dyDescent="0.35">
      <c r="A177" s="7">
        <v>69.973510000000005</v>
      </c>
      <c r="B177" s="3">
        <v>134.10990000000001</v>
      </c>
      <c r="C177" s="2">
        <f t="shared" si="26"/>
        <v>4896.2921017201006</v>
      </c>
      <c r="D177" s="2">
        <f t="shared" si="27"/>
        <v>17985.465278010004</v>
      </c>
      <c r="E177" s="2">
        <f t="shared" si="28"/>
        <v>9384.1404287490022</v>
      </c>
      <c r="F177" s="2">
        <f t="shared" si="29"/>
        <v>133.27096895204744</v>
      </c>
      <c r="G177" s="2">
        <f t="shared" si="30"/>
        <v>17761.151165417592</v>
      </c>
      <c r="H177" s="2">
        <f t="shared" si="31"/>
        <v>0.83893104795257045</v>
      </c>
      <c r="I177" s="8">
        <f t="shared" si="32"/>
        <v>0.70380530321879808</v>
      </c>
    </row>
    <row r="178" spans="1:9" x14ac:dyDescent="0.35">
      <c r="A178" s="7">
        <v>66.92568</v>
      </c>
      <c r="B178" s="3">
        <v>134.90100000000001</v>
      </c>
      <c r="C178" s="2">
        <f t="shared" si="26"/>
        <v>4479.0466434624004</v>
      </c>
      <c r="D178" s="2">
        <f t="shared" si="27"/>
        <v>18198.279801000004</v>
      </c>
      <c r="E178" s="2">
        <f t="shared" si="28"/>
        <v>9028.3411576800008</v>
      </c>
      <c r="F178" s="2">
        <f t="shared" si="29"/>
        <v>124.7928520182639</v>
      </c>
      <c r="G178" s="2">
        <f t="shared" si="30"/>
        <v>15573.255914852312</v>
      </c>
      <c r="H178" s="2">
        <f t="shared" si="31"/>
        <v>10.10814798173611</v>
      </c>
      <c r="I178" s="8">
        <f t="shared" si="32"/>
        <v>102.17465562067579</v>
      </c>
    </row>
    <row r="179" spans="1:9" x14ac:dyDescent="0.35">
      <c r="A179" s="7">
        <v>68.763469999999998</v>
      </c>
      <c r="B179" s="3">
        <v>139.63640000000001</v>
      </c>
      <c r="C179" s="2">
        <f t="shared" si="26"/>
        <v>4728.4148064409001</v>
      </c>
      <c r="D179" s="2">
        <f t="shared" si="27"/>
        <v>19498.324204960001</v>
      </c>
      <c r="E179" s="2">
        <f t="shared" si="28"/>
        <v>9601.8834023079999</v>
      </c>
      <c r="F179" s="2">
        <f t="shared" si="29"/>
        <v>129.90501330013922</v>
      </c>
      <c r="G179" s="2">
        <f t="shared" si="30"/>
        <v>16875.312480509347</v>
      </c>
      <c r="H179" s="2">
        <f t="shared" si="31"/>
        <v>9.7313866998607921</v>
      </c>
      <c r="I179" s="8">
        <f t="shared" si="32"/>
        <v>94.699887102227521</v>
      </c>
    </row>
    <row r="180" spans="1:9" x14ac:dyDescent="0.35">
      <c r="A180" s="7">
        <v>67.40692</v>
      </c>
      <c r="B180" s="3">
        <v>127.0273</v>
      </c>
      <c r="C180" s="2">
        <f t="shared" si="26"/>
        <v>4543.6928638864001</v>
      </c>
      <c r="D180" s="2">
        <f t="shared" si="27"/>
        <v>16135.934945289999</v>
      </c>
      <c r="E180" s="2">
        <f t="shared" si="28"/>
        <v>8562.5190489159995</v>
      </c>
      <c r="F180" s="2">
        <f t="shared" si="29"/>
        <v>126.13151230877024</v>
      </c>
      <c r="G180" s="2">
        <f t="shared" si="30"/>
        <v>15909.158397297459</v>
      </c>
      <c r="H180" s="2">
        <f t="shared" si="31"/>
        <v>0.89578769122975643</v>
      </c>
      <c r="I180" s="8">
        <f t="shared" si="32"/>
        <v>0.80243558775873747</v>
      </c>
    </row>
    <row r="181" spans="1:9" x14ac:dyDescent="0.35">
      <c r="A181" s="7">
        <v>65.74615</v>
      </c>
      <c r="B181" s="3">
        <v>134.77170000000001</v>
      </c>
      <c r="C181" s="2">
        <f t="shared" si="26"/>
        <v>4322.5562398225002</v>
      </c>
      <c r="D181" s="2">
        <f t="shared" si="27"/>
        <v>18163.411120890003</v>
      </c>
      <c r="E181" s="2">
        <f t="shared" si="28"/>
        <v>8860.7204039550015</v>
      </c>
      <c r="F181" s="2">
        <f t="shared" si="29"/>
        <v>121.51176571525302</v>
      </c>
      <c r="G181" s="2">
        <f t="shared" si="30"/>
        <v>14765.10920723854</v>
      </c>
      <c r="H181" s="2">
        <f t="shared" si="31"/>
        <v>13.25993428474699</v>
      </c>
      <c r="I181" s="8">
        <f t="shared" si="32"/>
        <v>175.82585723580866</v>
      </c>
    </row>
    <row r="182" spans="1:9" x14ac:dyDescent="0.35">
      <c r="A182" s="7">
        <v>65.883570000000006</v>
      </c>
      <c r="B182" s="3">
        <v>99.971239999999995</v>
      </c>
      <c r="C182" s="2">
        <f t="shared" si="26"/>
        <v>4340.6447959449006</v>
      </c>
      <c r="D182" s="2">
        <f t="shared" si="27"/>
        <v>9994.2488271375987</v>
      </c>
      <c r="E182" s="2">
        <f t="shared" si="28"/>
        <v>6586.4621885268007</v>
      </c>
      <c r="F182" s="2">
        <f t="shared" si="29"/>
        <v>121.89402549648771</v>
      </c>
      <c r="G182" s="2">
        <f t="shared" si="30"/>
        <v>14858.153451738397</v>
      </c>
      <c r="H182" s="2">
        <f t="shared" si="31"/>
        <v>-21.92278549648772</v>
      </c>
      <c r="I182" s="8">
        <f t="shared" si="32"/>
        <v>480.60852392501232</v>
      </c>
    </row>
    <row r="183" spans="1:9" x14ac:dyDescent="0.35">
      <c r="A183" s="7">
        <v>66.776229999999998</v>
      </c>
      <c r="B183" s="3">
        <v>129.4522</v>
      </c>
      <c r="C183" s="2">
        <f t="shared" si="26"/>
        <v>4459.0648930129</v>
      </c>
      <c r="D183" s="2">
        <f t="shared" si="27"/>
        <v>16757.872084840001</v>
      </c>
      <c r="E183" s="2">
        <f t="shared" si="28"/>
        <v>8644.3298812060002</v>
      </c>
      <c r="F183" s="2">
        <f t="shared" si="29"/>
        <v>124.37712851145612</v>
      </c>
      <c r="G183" s="2">
        <f t="shared" si="30"/>
        <v>15469.670096755272</v>
      </c>
      <c r="H183" s="2">
        <f t="shared" si="31"/>
        <v>5.0750714885438839</v>
      </c>
      <c r="I183" s="8">
        <f t="shared" si="32"/>
        <v>25.756350613831035</v>
      </c>
    </row>
    <row r="184" spans="1:9" x14ac:dyDescent="0.35">
      <c r="A184" s="7">
        <v>66.962199999999996</v>
      </c>
      <c r="B184" s="3">
        <v>129.35919999999999</v>
      </c>
      <c r="C184" s="2">
        <f t="shared" si="26"/>
        <v>4483.9362288399998</v>
      </c>
      <c r="D184" s="2">
        <f t="shared" si="27"/>
        <v>16733.802624639997</v>
      </c>
      <c r="E184" s="2">
        <f t="shared" si="28"/>
        <v>8662.1766222399983</v>
      </c>
      <c r="F184" s="2">
        <f t="shared" si="29"/>
        <v>124.89443932149989</v>
      </c>
      <c r="G184" s="2">
        <f t="shared" si="30"/>
        <v>15598.620973431818</v>
      </c>
      <c r="H184" s="2">
        <f t="shared" si="31"/>
        <v>4.4647606785000988</v>
      </c>
      <c r="I184" s="8">
        <f t="shared" si="32"/>
        <v>19.934087916280664</v>
      </c>
    </row>
    <row r="185" spans="1:9" x14ac:dyDescent="0.35">
      <c r="A185" s="7">
        <v>63.466419999999999</v>
      </c>
      <c r="B185" s="3">
        <v>103.65940000000001</v>
      </c>
      <c r="C185" s="2">
        <f t="shared" si="26"/>
        <v>4027.9864676163998</v>
      </c>
      <c r="D185" s="2">
        <f t="shared" si="27"/>
        <v>10745.271208360002</v>
      </c>
      <c r="E185" s="2">
        <f t="shared" si="28"/>
        <v>6578.8910173479999</v>
      </c>
      <c r="F185" s="2">
        <f t="shared" si="29"/>
        <v>115.17026454312257</v>
      </c>
      <c r="G185" s="2">
        <f t="shared" si="30"/>
        <v>13264.189834932837</v>
      </c>
      <c r="H185" s="2">
        <f t="shared" si="31"/>
        <v>-11.510864543122565</v>
      </c>
      <c r="I185" s="8">
        <f t="shared" si="32"/>
        <v>132.50000253011626</v>
      </c>
    </row>
    <row r="186" spans="1:9" x14ac:dyDescent="0.35">
      <c r="A186" s="7">
        <v>68.352239999999995</v>
      </c>
      <c r="B186" s="3">
        <v>115.73269999999999</v>
      </c>
      <c r="C186" s="2">
        <f t="shared" si="26"/>
        <v>4672.0287130175993</v>
      </c>
      <c r="D186" s="2">
        <f t="shared" si="27"/>
        <v>13394.057849289999</v>
      </c>
      <c r="E186" s="2">
        <f t="shared" si="28"/>
        <v>7910.5892862479986</v>
      </c>
      <c r="F186" s="2">
        <f t="shared" si="29"/>
        <v>128.76109909669617</v>
      </c>
      <c r="G186" s="2">
        <f t="shared" si="30"/>
        <v>16579.420640589211</v>
      </c>
      <c r="H186" s="2">
        <f t="shared" si="31"/>
        <v>-13.028399096696177</v>
      </c>
      <c r="I186" s="8">
        <f t="shared" si="32"/>
        <v>169.73918302279375</v>
      </c>
    </row>
    <row r="187" spans="1:9" x14ac:dyDescent="0.35">
      <c r="A187" s="7">
        <v>64.431470000000004</v>
      </c>
      <c r="B187" s="3">
        <v>104.8874</v>
      </c>
      <c r="C187" s="2">
        <f t="shared" si="26"/>
        <v>4151.4143263609003</v>
      </c>
      <c r="D187" s="2">
        <f t="shared" si="27"/>
        <v>11001.36667876</v>
      </c>
      <c r="E187" s="2">
        <f t="shared" si="28"/>
        <v>6758.0493664780006</v>
      </c>
      <c r="F187" s="2">
        <f t="shared" si="29"/>
        <v>117.85473406634001</v>
      </c>
      <c r="G187" s="2">
        <f t="shared" si="30"/>
        <v>13889.738341847726</v>
      </c>
      <c r="H187" s="2">
        <f t="shared" si="31"/>
        <v>-12.967334066340015</v>
      </c>
      <c r="I187" s="8">
        <f t="shared" si="32"/>
        <v>168.15175278806228</v>
      </c>
    </row>
    <row r="188" spans="1:9" x14ac:dyDescent="0.35">
      <c r="A188" s="7">
        <v>63.521749999999997</v>
      </c>
      <c r="B188" s="3">
        <v>131.00540000000001</v>
      </c>
      <c r="C188" s="2">
        <f t="shared" si="26"/>
        <v>4035.0127230624998</v>
      </c>
      <c r="D188" s="2">
        <f t="shared" si="27"/>
        <v>17162.414829160003</v>
      </c>
      <c r="E188" s="2">
        <f t="shared" si="28"/>
        <v>8321.6922674500001</v>
      </c>
      <c r="F188" s="2">
        <f t="shared" si="29"/>
        <v>115.32417542724217</v>
      </c>
      <c r="G188" s="2">
        <f t="shared" si="30"/>
        <v>13299.665437973326</v>
      </c>
      <c r="H188" s="2">
        <f t="shared" si="31"/>
        <v>15.681224572757841</v>
      </c>
      <c r="I188" s="8">
        <f t="shared" si="32"/>
        <v>245.90080410126436</v>
      </c>
    </row>
    <row r="189" spans="1:9" x14ac:dyDescent="0.35">
      <c r="A189" s="7">
        <v>66.861959999999996</v>
      </c>
      <c r="B189" s="3">
        <v>129.07089999999999</v>
      </c>
      <c r="C189" s="2">
        <f t="shared" si="26"/>
        <v>4470.5216950415997</v>
      </c>
      <c r="D189" s="2">
        <f t="shared" si="27"/>
        <v>16659.297226809998</v>
      </c>
      <c r="E189" s="2">
        <f t="shared" si="28"/>
        <v>8629.9333529639989</v>
      </c>
      <c r="F189" s="2">
        <f t="shared" si="29"/>
        <v>124.61560275861991</v>
      </c>
      <c r="G189" s="2">
        <f t="shared" si="30"/>
        <v>15529.048450894159</v>
      </c>
      <c r="H189" s="2">
        <f t="shared" si="31"/>
        <v>4.4552972413800802</v>
      </c>
      <c r="I189" s="8">
        <f t="shared" si="32"/>
        <v>19.849673509048952</v>
      </c>
    </row>
    <row r="190" spans="1:9" x14ac:dyDescent="0.35">
      <c r="A190" s="7">
        <v>65.536510000000007</v>
      </c>
      <c r="B190" s="3">
        <v>102.54940000000001</v>
      </c>
      <c r="C190" s="2">
        <f t="shared" si="26"/>
        <v>4295.034142980101</v>
      </c>
      <c r="D190" s="2">
        <f t="shared" si="27"/>
        <v>10516.37944036</v>
      </c>
      <c r="E190" s="2">
        <f t="shared" si="28"/>
        <v>6720.7297785940009</v>
      </c>
      <c r="F190" s="2">
        <f t="shared" si="29"/>
        <v>120.92861231299686</v>
      </c>
      <c r="G190" s="2">
        <f t="shared" si="30"/>
        <v>14623.729275947097</v>
      </c>
      <c r="H190" s="2">
        <f t="shared" si="31"/>
        <v>-18.379212312996856</v>
      </c>
      <c r="I190" s="8">
        <f t="shared" si="32"/>
        <v>337.79544524621525</v>
      </c>
    </row>
    <row r="191" spans="1:9" x14ac:dyDescent="0.35">
      <c r="A191" s="7">
        <v>71.823059999999998</v>
      </c>
      <c r="B191" s="3">
        <v>133.22569999999999</v>
      </c>
      <c r="C191" s="2">
        <f t="shared" si="26"/>
        <v>5158.5519477635999</v>
      </c>
      <c r="D191" s="2">
        <f t="shared" si="27"/>
        <v>17749.087140489995</v>
      </c>
      <c r="E191" s="2">
        <f t="shared" si="28"/>
        <v>9568.6774446419986</v>
      </c>
      <c r="F191" s="2">
        <f t="shared" si="29"/>
        <v>138.41584290331087</v>
      </c>
      <c r="G191" s="2">
        <f t="shared" si="30"/>
        <v>19158.945566634036</v>
      </c>
      <c r="H191" s="2">
        <f t="shared" si="31"/>
        <v>-5.1901429033108855</v>
      </c>
      <c r="I191" s="8">
        <f t="shared" si="32"/>
        <v>26.937583356788348</v>
      </c>
    </row>
    <row r="192" spans="1:9" x14ac:dyDescent="0.35">
      <c r="A192" s="7">
        <v>68.865380000000002</v>
      </c>
      <c r="B192" s="3">
        <v>146.30080000000001</v>
      </c>
      <c r="C192" s="2">
        <f t="shared" si="26"/>
        <v>4742.4405625444006</v>
      </c>
      <c r="D192" s="2">
        <f t="shared" si="27"/>
        <v>21403.924080640001</v>
      </c>
      <c r="E192" s="2">
        <f t="shared" si="28"/>
        <v>10075.060186304001</v>
      </c>
      <c r="F192" s="2">
        <f t="shared" si="29"/>
        <v>130.18849528460748</v>
      </c>
      <c r="G192" s="2">
        <f t="shared" si="30"/>
        <v>16949.044304470266</v>
      </c>
      <c r="H192" s="2">
        <f t="shared" si="31"/>
        <v>16.112304715392526</v>
      </c>
      <c r="I192" s="8">
        <f t="shared" si="32"/>
        <v>259.60636324166023</v>
      </c>
    </row>
    <row r="193" spans="1:9" x14ac:dyDescent="0.35">
      <c r="A193" s="7">
        <v>70.792069999999995</v>
      </c>
      <c r="B193" s="3">
        <v>140.8125</v>
      </c>
      <c r="C193" s="2">
        <f t="shared" si="26"/>
        <v>5011.5171748848998</v>
      </c>
      <c r="D193" s="2">
        <f t="shared" si="27"/>
        <v>19828.16015625</v>
      </c>
      <c r="E193" s="2">
        <f t="shared" si="28"/>
        <v>9968.4083568749993</v>
      </c>
      <c r="F193" s="2">
        <f t="shared" si="29"/>
        <v>135.54794876959556</v>
      </c>
      <c r="G193" s="2">
        <f t="shared" si="30"/>
        <v>18373.246415644902</v>
      </c>
      <c r="H193" s="2">
        <f t="shared" si="31"/>
        <v>5.264551230404436</v>
      </c>
      <c r="I193" s="8">
        <f t="shared" si="32"/>
        <v>27.715499657552861</v>
      </c>
    </row>
    <row r="194" spans="1:9" x14ac:dyDescent="0.35">
      <c r="A194" s="7">
        <v>69.021389999999997</v>
      </c>
      <c r="B194" s="3">
        <v>132.46180000000001</v>
      </c>
      <c r="C194" s="2">
        <f t="shared" si="26"/>
        <v>4763.9522775320993</v>
      </c>
      <c r="D194" s="2">
        <f t="shared" si="27"/>
        <v>17546.128459240004</v>
      </c>
      <c r="E194" s="2">
        <f t="shared" si="28"/>
        <v>9142.697557902</v>
      </c>
      <c r="F194" s="2">
        <f t="shared" si="29"/>
        <v>130.6224666750195</v>
      </c>
      <c r="G194" s="2">
        <f t="shared" si="30"/>
        <v>17062.228800266577</v>
      </c>
      <c r="H194" s="2">
        <f t="shared" si="31"/>
        <v>1.8393333249805153</v>
      </c>
      <c r="I194" s="8">
        <f t="shared" si="32"/>
        <v>3.3831470803838779</v>
      </c>
    </row>
    <row r="195" spans="1:9" x14ac:dyDescent="0.35">
      <c r="A195" s="7">
        <v>67.352699999999999</v>
      </c>
      <c r="B195" s="3">
        <v>118.8437</v>
      </c>
      <c r="C195" s="2">
        <f t="shared" ref="C195:C201" si="33">A195^2</f>
        <v>4536.3861972899995</v>
      </c>
      <c r="D195" s="2">
        <f t="shared" ref="D195:D201" si="34">B195^2</f>
        <v>14123.825029689999</v>
      </c>
      <c r="E195" s="2">
        <f t="shared" ref="E195:E201" si="35">A195*B195</f>
        <v>8004.4440729899998</v>
      </c>
      <c r="F195" s="2">
        <f t="shared" ref="F195:F201" si="36" xml:space="preserve"> $K$55 * A195 + $L$55</f>
        <v>125.98068910007758</v>
      </c>
      <c r="G195" s="2">
        <f t="shared" ref="G195:G201" si="37">F195^2</f>
        <v>15871.134026130407</v>
      </c>
      <c r="H195" s="2">
        <f t="shared" ref="H195:H201" si="38">B195-F195</f>
        <v>-7.1369891000775851</v>
      </c>
      <c r="I195" s="8">
        <f t="shared" ref="I195:I201" si="39">H195^2</f>
        <v>50.936613414626258</v>
      </c>
    </row>
    <row r="196" spans="1:9" x14ac:dyDescent="0.35">
      <c r="A196" s="7">
        <v>66.329400000000007</v>
      </c>
      <c r="B196" s="3">
        <v>133.4495</v>
      </c>
      <c r="C196" s="2">
        <f t="shared" si="33"/>
        <v>4399.5893043600008</v>
      </c>
      <c r="D196" s="2">
        <f t="shared" si="34"/>
        <v>17808.769050250001</v>
      </c>
      <c r="E196" s="2">
        <f t="shared" si="35"/>
        <v>8851.625265300001</v>
      </c>
      <c r="F196" s="2">
        <f t="shared" si="36"/>
        <v>123.13418615918501</v>
      </c>
      <c r="G196" s="2">
        <f t="shared" si="37"/>
        <v>15162.027801084829</v>
      </c>
      <c r="H196" s="2">
        <f t="shared" si="38"/>
        <v>10.315313840814994</v>
      </c>
      <c r="I196" s="8">
        <f t="shared" si="39"/>
        <v>106.40569963450939</v>
      </c>
    </row>
    <row r="197" spans="1:9" x14ac:dyDescent="0.35">
      <c r="A197" s="7">
        <v>67.757919999999999</v>
      </c>
      <c r="B197" s="3">
        <v>134.88200000000001</v>
      </c>
      <c r="C197" s="2">
        <f t="shared" si="33"/>
        <v>4591.1357227263998</v>
      </c>
      <c r="D197" s="2">
        <f t="shared" si="34"/>
        <v>18193.153924000002</v>
      </c>
      <c r="E197" s="2">
        <f t="shared" si="35"/>
        <v>9139.32376544</v>
      </c>
      <c r="F197" s="2">
        <f t="shared" si="36"/>
        <v>127.10788534918196</v>
      </c>
      <c r="G197" s="2">
        <f t="shared" si="37"/>
        <v>16156.414517940784</v>
      </c>
      <c r="H197" s="2">
        <f t="shared" si="38"/>
        <v>7.7741146508180492</v>
      </c>
      <c r="I197" s="8">
        <f t="shared" si="39"/>
        <v>60.436858604063836</v>
      </c>
    </row>
    <row r="198" spans="1:9" x14ac:dyDescent="0.35">
      <c r="A198" s="7">
        <v>68.647959999999998</v>
      </c>
      <c r="B198" s="3">
        <v>129.6789</v>
      </c>
      <c r="C198" s="2">
        <f t="shared" si="33"/>
        <v>4712.5424121615997</v>
      </c>
      <c r="D198" s="2">
        <f t="shared" si="34"/>
        <v>16816.61710521</v>
      </c>
      <c r="E198" s="2">
        <f t="shared" si="35"/>
        <v>8902.1919400440001</v>
      </c>
      <c r="F198" s="2">
        <f t="shared" si="36"/>
        <v>129.58370033746695</v>
      </c>
      <c r="G198" s="2">
        <f t="shared" si="37"/>
        <v>16791.935393150434</v>
      </c>
      <c r="H198" s="2">
        <f t="shared" si="38"/>
        <v>9.5199662533048013E-2</v>
      </c>
      <c r="I198" s="8">
        <f t="shared" si="39"/>
        <v>9.0629757464062259E-3</v>
      </c>
    </row>
    <row r="199" spans="1:9" x14ac:dyDescent="0.35">
      <c r="A199" s="7">
        <v>68.187839999999994</v>
      </c>
      <c r="B199" s="3">
        <v>136.73179999999999</v>
      </c>
      <c r="C199" s="2">
        <f t="shared" si="33"/>
        <v>4649.5815238655996</v>
      </c>
      <c r="D199" s="2">
        <f t="shared" si="34"/>
        <v>18695.585131239997</v>
      </c>
      <c r="E199" s="2">
        <f t="shared" si="35"/>
        <v>9323.4461013119981</v>
      </c>
      <c r="F199" s="2">
        <f t="shared" si="36"/>
        <v>128.30378933075974</v>
      </c>
      <c r="G199" s="2">
        <f t="shared" si="37"/>
        <v>16461.862356631977</v>
      </c>
      <c r="H199" s="2">
        <f t="shared" si="38"/>
        <v>8.4280106692402512</v>
      </c>
      <c r="I199" s="8">
        <f t="shared" si="39"/>
        <v>71.03136384082751</v>
      </c>
    </row>
    <row r="200" spans="1:9" x14ac:dyDescent="0.35">
      <c r="A200" s="7">
        <v>71.539779999999993</v>
      </c>
      <c r="B200" s="3">
        <v>133.99809999999999</v>
      </c>
      <c r="C200" s="2">
        <f t="shared" si="33"/>
        <v>5117.9401224483991</v>
      </c>
      <c r="D200" s="2">
        <f t="shared" si="34"/>
        <v>17955.490803609999</v>
      </c>
      <c r="E200" s="2">
        <f t="shared" si="35"/>
        <v>9586.1945944179988</v>
      </c>
      <c r="F200" s="2">
        <f t="shared" si="36"/>
        <v>137.62784588083838</v>
      </c>
      <c r="G200" s="2">
        <f t="shared" si="37"/>
        <v>18941.423961799803</v>
      </c>
      <c r="H200" s="2">
        <f t="shared" si="38"/>
        <v>-3.6297458808383851</v>
      </c>
      <c r="I200" s="8">
        <f t="shared" si="39"/>
        <v>13.175055159463223</v>
      </c>
    </row>
    <row r="201" spans="1:9" x14ac:dyDescent="0.35">
      <c r="A201" s="9">
        <v>68.589590000000001</v>
      </c>
      <c r="B201" s="10">
        <v>128.13239999999999</v>
      </c>
      <c r="C201" s="11">
        <f t="shared" si="33"/>
        <v>4704.5318563681003</v>
      </c>
      <c r="D201" s="11">
        <f t="shared" si="34"/>
        <v>16417.911929759997</v>
      </c>
      <c r="E201" s="11">
        <f t="shared" si="35"/>
        <v>8788.5487817159992</v>
      </c>
      <c r="F201" s="11">
        <f t="shared" si="36"/>
        <v>129.42133311704293</v>
      </c>
      <c r="G201" s="11">
        <f t="shared" si="37"/>
        <v>16749.881465792594</v>
      </c>
      <c r="H201" s="11">
        <f t="shared" si="38"/>
        <v>-1.2889331170429443</v>
      </c>
      <c r="I201" s="12">
        <f t="shared" si="39"/>
        <v>1.6613485802100405</v>
      </c>
    </row>
  </sheetData>
  <mergeCells count="45">
    <mergeCell ref="K145:R150"/>
    <mergeCell ref="K132:O134"/>
    <mergeCell ref="K136:N136"/>
    <mergeCell ref="K137:N137"/>
    <mergeCell ref="K138:N139"/>
    <mergeCell ref="O138:O139"/>
    <mergeCell ref="K141:O142"/>
    <mergeCell ref="K115:O116"/>
    <mergeCell ref="Q113:R114"/>
    <mergeCell ref="K120:R122"/>
    <mergeCell ref="K130:N131"/>
    <mergeCell ref="O130:O131"/>
    <mergeCell ref="K105:O107"/>
    <mergeCell ref="K112:N113"/>
    <mergeCell ref="K110:N110"/>
    <mergeCell ref="K111:N111"/>
    <mergeCell ref="K109:O109"/>
    <mergeCell ref="O112:O113"/>
    <mergeCell ref="Q102:R104"/>
    <mergeCell ref="K99:N100"/>
    <mergeCell ref="O99:O100"/>
    <mergeCell ref="K102:N103"/>
    <mergeCell ref="O102:O103"/>
    <mergeCell ref="K101:N101"/>
    <mergeCell ref="K93:O97"/>
    <mergeCell ref="K98:O98"/>
    <mergeCell ref="Q93:R94"/>
    <mergeCell ref="Q97:R99"/>
    <mergeCell ref="R58:T59"/>
    <mergeCell ref="S60:T60"/>
    <mergeCell ref="S61:T61"/>
    <mergeCell ref="V58:AB61"/>
    <mergeCell ref="V62:AB62"/>
    <mergeCell ref="N55:P55"/>
    <mergeCell ref="N56:P56"/>
    <mergeCell ref="R52:T52"/>
    <mergeCell ref="S53:T53"/>
    <mergeCell ref="R55:T55"/>
    <mergeCell ref="S56:T56"/>
    <mergeCell ref="T7:Z14"/>
    <mergeCell ref="K36:L37"/>
    <mergeCell ref="T4:Z5"/>
    <mergeCell ref="Z38:AF44"/>
    <mergeCell ref="N52:P53"/>
    <mergeCell ref="K51:L53"/>
  </mergeCell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Denis Kirbaba</cp:lastModifiedBy>
  <dcterms:created xsi:type="dcterms:W3CDTF">2022-12-17T22:09:36Z</dcterms:created>
  <dcterms:modified xsi:type="dcterms:W3CDTF">2023-03-03T17:54:42Z</dcterms:modified>
</cp:coreProperties>
</file>