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lient\F$\HF\Class 7 - Macro\"/>
    </mc:Choice>
  </mc:AlternateContent>
  <bookViews>
    <workbookView xWindow="-120" yWindow="-120" windowWidth="20730" windowHeight="11160"/>
  </bookViews>
  <sheets>
    <sheet name="blank" sheetId="14" r:id="rId1"/>
    <sheet name="rprr" sheetId="4" r:id="rId2"/>
    <sheet name="eco data" sheetId="8" r:id="rId3"/>
    <sheet name="rates" sheetId="5" r:id="rId4"/>
    <sheet name="carry+rd" sheetId="1" r:id="rId5"/>
    <sheet name="EU countries" sheetId="11" r:id="rId6"/>
    <sheet name="monitor" sheetId="10" r:id="rId7"/>
    <sheet name="flows" sheetId="12" r:id="rId8"/>
    <sheet name="CBs" sheetId="13" r:id="rId9"/>
  </sheets>
  <definedNames>
    <definedName name="_xlnm.Print_Area" localSheetId="1">rprr!$A$2:$N$58</definedName>
  </definedNames>
  <calcPr calcId="152511" calcMode="manual" calcCompleted="0" calcOnSave="0"/>
</workbook>
</file>

<file path=xl/calcChain.xml><?xml version="1.0" encoding="utf-8"?>
<calcChain xmlns="http://schemas.openxmlformats.org/spreadsheetml/2006/main">
  <c r="U209" i="13" l="1"/>
  <c r="T210" i="13"/>
  <c r="I210" i="13"/>
  <c r="H210" i="13"/>
  <c r="I209" i="13"/>
  <c r="H209" i="13"/>
  <c r="I208" i="13"/>
  <c r="H208" i="13"/>
  <c r="I207" i="13"/>
  <c r="H207" i="13"/>
  <c r="I206" i="13"/>
  <c r="H206" i="13"/>
  <c r="I205" i="13"/>
  <c r="H205" i="13"/>
  <c r="I204" i="13"/>
  <c r="H204" i="13"/>
  <c r="I203" i="13"/>
  <c r="H203" i="13"/>
  <c r="I202" i="13"/>
  <c r="H202" i="13"/>
  <c r="I201" i="13"/>
  <c r="H201" i="13"/>
  <c r="I200" i="13"/>
  <c r="H200" i="13"/>
  <c r="I199" i="13"/>
  <c r="H199" i="13"/>
  <c r="I198" i="13"/>
  <c r="H198" i="13"/>
  <c r="I197" i="13"/>
  <c r="H197" i="13"/>
  <c r="I196" i="13"/>
  <c r="H196" i="13"/>
  <c r="I195" i="13"/>
  <c r="H195" i="13"/>
  <c r="I194" i="13"/>
  <c r="H194" i="13"/>
  <c r="I193" i="13"/>
  <c r="H193" i="13"/>
  <c r="I192" i="13"/>
  <c r="H192" i="13"/>
  <c r="T191" i="13"/>
  <c r="S191" i="13"/>
  <c r="R191" i="13"/>
  <c r="Q191" i="13"/>
  <c r="P191" i="13"/>
  <c r="I191" i="13"/>
  <c r="H191" i="13"/>
  <c r="I190" i="13"/>
  <c r="H190" i="13"/>
  <c r="I189" i="13"/>
  <c r="H189" i="13"/>
  <c r="I188" i="13"/>
  <c r="H188" i="13"/>
  <c r="I187" i="13"/>
  <c r="H187" i="13"/>
  <c r="I186" i="13"/>
  <c r="H186" i="13"/>
  <c r="I185" i="13"/>
  <c r="H185" i="13"/>
  <c r="I184" i="13"/>
  <c r="H184" i="13"/>
  <c r="I183" i="13"/>
  <c r="H183" i="13"/>
  <c r="I182" i="13"/>
  <c r="H182" i="13"/>
  <c r="I181" i="13"/>
  <c r="H181" i="13"/>
  <c r="I180" i="13"/>
  <c r="H180" i="13"/>
  <c r="I179" i="13"/>
  <c r="H179" i="13"/>
  <c r="I178" i="13"/>
  <c r="H178" i="13"/>
  <c r="I177" i="13"/>
  <c r="H177" i="13"/>
  <c r="I176" i="13"/>
  <c r="H176" i="13"/>
  <c r="I175" i="13"/>
  <c r="H175" i="13"/>
  <c r="I174" i="13"/>
  <c r="H174" i="13"/>
  <c r="I173" i="13"/>
  <c r="H173" i="13"/>
  <c r="I172" i="13"/>
  <c r="H172" i="13"/>
  <c r="I171" i="13"/>
  <c r="H171" i="13"/>
  <c r="I170" i="13"/>
  <c r="H170" i="13"/>
  <c r="I169" i="13"/>
  <c r="H169" i="13"/>
  <c r="I168" i="13"/>
  <c r="H168" i="13"/>
  <c r="I167" i="13"/>
  <c r="H167" i="13"/>
  <c r="I166" i="13"/>
  <c r="H166" i="13"/>
  <c r="I165" i="13"/>
  <c r="H165" i="13"/>
  <c r="I164" i="13"/>
  <c r="H164" i="13"/>
  <c r="I163" i="13"/>
  <c r="H163" i="13"/>
  <c r="I162" i="13"/>
  <c r="H162" i="13"/>
  <c r="I161" i="13"/>
  <c r="H161" i="13"/>
  <c r="I160" i="13"/>
  <c r="H160" i="13"/>
  <c r="I159" i="13"/>
  <c r="H159" i="13"/>
  <c r="I158" i="13"/>
  <c r="H158" i="13"/>
  <c r="I157" i="13"/>
  <c r="H157" i="13"/>
  <c r="I156" i="13"/>
  <c r="H156" i="13"/>
  <c r="I155" i="13"/>
  <c r="H155" i="13"/>
  <c r="I154" i="13"/>
  <c r="H154" i="13"/>
  <c r="I153" i="13"/>
  <c r="H153" i="13"/>
  <c r="I152" i="13"/>
  <c r="H152" i="13"/>
  <c r="I151" i="13"/>
  <c r="H151" i="13"/>
  <c r="I150" i="13"/>
  <c r="H150" i="13"/>
  <c r="I149" i="13"/>
  <c r="H149" i="13"/>
  <c r="I148" i="13"/>
  <c r="H148" i="13"/>
  <c r="I147" i="13"/>
  <c r="H147" i="13"/>
  <c r="I146" i="13"/>
  <c r="H146" i="13"/>
  <c r="I145" i="13"/>
  <c r="H145" i="13"/>
  <c r="I144" i="13"/>
  <c r="H144" i="13"/>
  <c r="I143" i="13"/>
  <c r="H143" i="13"/>
  <c r="I142" i="13"/>
  <c r="H142" i="13"/>
  <c r="I141" i="13"/>
  <c r="H141" i="13"/>
  <c r="I140" i="13"/>
  <c r="H140" i="13"/>
  <c r="I139" i="13"/>
  <c r="H139" i="13"/>
  <c r="I138" i="13"/>
  <c r="H138" i="13"/>
  <c r="I137" i="13"/>
  <c r="H137" i="13"/>
  <c r="I136" i="13"/>
  <c r="H136" i="13"/>
  <c r="I135" i="13"/>
  <c r="H135" i="13"/>
  <c r="I134" i="13"/>
  <c r="H134" i="13"/>
  <c r="I133" i="13"/>
  <c r="H133" i="13"/>
  <c r="I132" i="13"/>
  <c r="H132" i="13"/>
  <c r="I131" i="13"/>
  <c r="H131" i="13"/>
  <c r="I130" i="13"/>
  <c r="H130" i="13"/>
  <c r="I129" i="13"/>
  <c r="H129" i="13"/>
  <c r="I128" i="13"/>
  <c r="H128" i="13"/>
  <c r="I127" i="13"/>
  <c r="H127" i="13"/>
  <c r="I126" i="13"/>
  <c r="H126" i="13"/>
  <c r="I125" i="13"/>
  <c r="H125" i="13"/>
  <c r="I124" i="13"/>
  <c r="H124" i="13"/>
  <c r="I123" i="13"/>
  <c r="H123" i="13"/>
  <c r="I122" i="13"/>
  <c r="H122" i="13"/>
  <c r="I121" i="13"/>
  <c r="H121" i="13"/>
  <c r="I120" i="13"/>
  <c r="H120" i="13"/>
  <c r="I119" i="13"/>
  <c r="H119" i="13"/>
  <c r="I118" i="13"/>
  <c r="H118" i="13"/>
  <c r="I117" i="13"/>
  <c r="H117" i="13"/>
  <c r="I116" i="13"/>
  <c r="H116" i="13"/>
  <c r="I115" i="13"/>
  <c r="H115" i="13"/>
  <c r="I114" i="13"/>
  <c r="H114" i="13"/>
  <c r="I113" i="13"/>
  <c r="H113" i="13"/>
  <c r="I112" i="13"/>
  <c r="H112" i="13"/>
  <c r="I111" i="13"/>
  <c r="H111" i="13"/>
  <c r="I110" i="13"/>
  <c r="H110" i="13"/>
  <c r="I109" i="13"/>
  <c r="H109" i="13"/>
  <c r="I108" i="13"/>
  <c r="H108" i="13"/>
  <c r="I107" i="13"/>
  <c r="H107" i="13"/>
  <c r="I106" i="13"/>
  <c r="H106" i="13"/>
  <c r="I105" i="13"/>
  <c r="H105" i="13"/>
  <c r="I104" i="13"/>
  <c r="H104" i="13"/>
  <c r="I103" i="13"/>
  <c r="H103" i="13"/>
  <c r="I102" i="13"/>
  <c r="H102" i="13"/>
  <c r="I101" i="13"/>
  <c r="H101" i="13"/>
  <c r="I100" i="13"/>
  <c r="H100" i="13"/>
  <c r="I99" i="13"/>
  <c r="H99" i="13"/>
  <c r="I98" i="13"/>
  <c r="H98" i="13"/>
  <c r="I97" i="13"/>
  <c r="H97" i="13"/>
  <c r="I96" i="13"/>
  <c r="H96" i="13"/>
  <c r="I95" i="13"/>
  <c r="H95" i="13"/>
  <c r="I94" i="13"/>
  <c r="H94" i="13"/>
  <c r="I93" i="13"/>
  <c r="H93" i="13"/>
  <c r="I92" i="13"/>
  <c r="H92" i="13"/>
  <c r="I91" i="13"/>
  <c r="H91" i="13"/>
  <c r="I90" i="13"/>
  <c r="H90" i="13"/>
  <c r="I89" i="13"/>
  <c r="H89" i="13"/>
  <c r="I88" i="13"/>
  <c r="H88" i="13"/>
  <c r="I87" i="13"/>
  <c r="H87" i="13"/>
  <c r="I86" i="13"/>
  <c r="H86" i="13"/>
  <c r="I85" i="13"/>
  <c r="H85" i="13"/>
  <c r="I84" i="13"/>
  <c r="H84" i="13"/>
  <c r="I83" i="13"/>
  <c r="H83" i="13"/>
  <c r="I82" i="13"/>
  <c r="H82" i="13"/>
  <c r="I81" i="13"/>
  <c r="H81" i="13"/>
  <c r="I80" i="13"/>
  <c r="H80" i="13"/>
  <c r="I79" i="13"/>
  <c r="H79" i="13"/>
  <c r="I78" i="13"/>
  <c r="H78" i="13"/>
  <c r="I77" i="13"/>
  <c r="H77" i="13"/>
  <c r="I76" i="13"/>
  <c r="H76" i="13"/>
  <c r="I75" i="13"/>
  <c r="H75" i="13"/>
  <c r="I74" i="13"/>
  <c r="H74" i="13"/>
  <c r="I73" i="13"/>
  <c r="H73" i="13"/>
  <c r="I72" i="13"/>
  <c r="H72" i="13"/>
  <c r="I71" i="13"/>
  <c r="H71" i="13"/>
  <c r="I70" i="13"/>
  <c r="H70" i="13"/>
  <c r="I69" i="13"/>
  <c r="H69" i="13"/>
  <c r="I68" i="13"/>
  <c r="H68" i="13"/>
  <c r="I67" i="13"/>
  <c r="H67" i="13"/>
  <c r="I66" i="13"/>
  <c r="H66" i="13"/>
  <c r="I65" i="13"/>
  <c r="H65" i="13"/>
  <c r="I64" i="13"/>
  <c r="H64" i="13"/>
  <c r="I63" i="13"/>
  <c r="H63" i="13"/>
  <c r="I62" i="13"/>
  <c r="H62" i="13"/>
  <c r="I61" i="13"/>
  <c r="H61" i="13"/>
  <c r="I60" i="13"/>
  <c r="H60" i="13"/>
  <c r="I59" i="13"/>
  <c r="H59" i="13"/>
  <c r="I58" i="13"/>
  <c r="H58" i="13"/>
  <c r="I57" i="13"/>
  <c r="H57" i="13"/>
  <c r="I56" i="13"/>
  <c r="H56" i="13"/>
  <c r="I55" i="13"/>
  <c r="H55" i="13"/>
  <c r="I54" i="13"/>
  <c r="H54" i="13"/>
  <c r="I53" i="13"/>
  <c r="H53" i="13"/>
  <c r="I52" i="13"/>
  <c r="H52" i="13"/>
  <c r="I51" i="13"/>
  <c r="H51" i="13"/>
  <c r="I50" i="13"/>
  <c r="H50" i="13"/>
  <c r="I49" i="13"/>
  <c r="H49" i="13"/>
  <c r="I48" i="13"/>
  <c r="H48" i="13"/>
  <c r="I47" i="13"/>
  <c r="H47" i="13"/>
  <c r="I46" i="13"/>
  <c r="H46" i="13"/>
  <c r="I45" i="13"/>
  <c r="H45" i="13"/>
  <c r="I44" i="13"/>
  <c r="H44" i="13"/>
  <c r="I43" i="13"/>
  <c r="H43" i="13"/>
  <c r="I42" i="13"/>
  <c r="H42" i="13"/>
  <c r="I41" i="13"/>
  <c r="H41" i="13"/>
  <c r="I40" i="13"/>
  <c r="H40" i="13"/>
  <c r="I39" i="13"/>
  <c r="H39" i="13"/>
  <c r="I38" i="13"/>
  <c r="H38" i="13"/>
  <c r="I37" i="13"/>
  <c r="H37" i="13"/>
  <c r="I36" i="13"/>
  <c r="H36" i="13"/>
  <c r="I35" i="13"/>
  <c r="H35" i="13"/>
  <c r="I34" i="13"/>
  <c r="H34" i="13"/>
  <c r="I33" i="13"/>
  <c r="H33" i="13"/>
  <c r="I32" i="13"/>
  <c r="H32" i="13"/>
  <c r="I31" i="13"/>
  <c r="H31" i="13"/>
  <c r="I30" i="13"/>
  <c r="H30" i="13"/>
  <c r="I29" i="13"/>
  <c r="H29" i="13"/>
  <c r="I28" i="13"/>
  <c r="H28" i="13"/>
  <c r="I27" i="13"/>
  <c r="H27" i="13"/>
  <c r="I26" i="13"/>
  <c r="H26" i="13"/>
  <c r="I25" i="13"/>
  <c r="H25" i="13"/>
  <c r="I24" i="13"/>
  <c r="H24" i="13"/>
  <c r="I23" i="13"/>
  <c r="H23" i="13"/>
  <c r="I22" i="13"/>
  <c r="H22" i="13"/>
  <c r="I21" i="13"/>
  <c r="H21" i="13"/>
  <c r="I20" i="13"/>
  <c r="H20" i="13"/>
  <c r="I19" i="13"/>
  <c r="H19" i="13"/>
  <c r="I18" i="13"/>
  <c r="H18" i="13"/>
  <c r="I17" i="13"/>
  <c r="H17" i="13"/>
  <c r="I16" i="13"/>
  <c r="H16" i="13"/>
  <c r="I15" i="13"/>
  <c r="H15" i="13"/>
  <c r="I14" i="13"/>
  <c r="H14" i="13"/>
  <c r="I13" i="13"/>
  <c r="H13" i="13"/>
  <c r="I12" i="13"/>
  <c r="H12" i="13"/>
  <c r="I11" i="13"/>
  <c r="H11" i="13"/>
  <c r="I10" i="13"/>
  <c r="H10" i="13"/>
  <c r="I9" i="13"/>
  <c r="H9" i="13"/>
  <c r="I8" i="13"/>
  <c r="H8" i="13"/>
  <c r="I7" i="13"/>
  <c r="E5" i="13"/>
  <c r="D5" i="13"/>
  <c r="AE27" i="8"/>
  <c r="F5" i="13"/>
  <c r="C5" i="13"/>
  <c r="AH27" i="8"/>
  <c r="B5" i="13"/>
  <c r="F3" i="13"/>
  <c r="E3" i="13"/>
  <c r="D3" i="13"/>
  <c r="C3" i="13"/>
  <c r="J208" i="13" l="1"/>
  <c r="J204" i="13"/>
  <c r="J200" i="13"/>
  <c r="J196" i="13"/>
  <c r="J192" i="13"/>
  <c r="J191" i="13"/>
  <c r="J187" i="13"/>
  <c r="J183" i="13"/>
  <c r="J179" i="13"/>
  <c r="J175" i="13"/>
  <c r="J171" i="13"/>
  <c r="J167" i="13"/>
  <c r="J209" i="13"/>
  <c r="J205" i="13"/>
  <c r="J201" i="13"/>
  <c r="J197" i="13"/>
  <c r="J193" i="13"/>
  <c r="J190" i="13"/>
  <c r="J186" i="13"/>
  <c r="J182" i="13"/>
  <c r="J178" i="13"/>
  <c r="J174" i="13"/>
  <c r="J170" i="13"/>
  <c r="J166" i="13"/>
  <c r="J185" i="13"/>
  <c r="J177" i="13"/>
  <c r="J169" i="13"/>
  <c r="J165" i="13"/>
  <c r="J161" i="13"/>
  <c r="J157" i="13"/>
  <c r="J153" i="13"/>
  <c r="J149" i="13"/>
  <c r="J145" i="13"/>
  <c r="J141" i="13"/>
  <c r="J137" i="13"/>
  <c r="J133" i="13"/>
  <c r="J129" i="13"/>
  <c r="J125" i="13"/>
  <c r="J121" i="13"/>
  <c r="J117" i="13"/>
  <c r="J113" i="13"/>
  <c r="J109" i="13"/>
  <c r="J105" i="13"/>
  <c r="J101" i="13"/>
  <c r="J97" i="13"/>
  <c r="J93" i="13"/>
  <c r="J89" i="13"/>
  <c r="J85" i="13"/>
  <c r="J81" i="13"/>
  <c r="J77" i="13"/>
  <c r="J203" i="13"/>
  <c r="J181" i="13"/>
  <c r="J172" i="13"/>
  <c r="J168" i="13"/>
  <c r="J160" i="13"/>
  <c r="J158" i="13"/>
  <c r="J151" i="13"/>
  <c r="J144" i="13"/>
  <c r="J142" i="13"/>
  <c r="J135" i="13"/>
  <c r="J128" i="13"/>
  <c r="J126" i="13"/>
  <c r="J119" i="13"/>
  <c r="J194" i="13"/>
  <c r="J173" i="13"/>
  <c r="J164" i="13"/>
  <c r="J159" i="13"/>
  <c r="J154" i="13"/>
  <c r="J139" i="13"/>
  <c r="J134" i="13"/>
  <c r="J130" i="13"/>
  <c r="J124" i="13"/>
  <c r="J112" i="13"/>
  <c r="J110" i="13"/>
  <c r="J103" i="13"/>
  <c r="J96" i="13"/>
  <c r="J94" i="13"/>
  <c r="J87" i="13"/>
  <c r="J80" i="13"/>
  <c r="J78" i="13"/>
  <c r="J71" i="13"/>
  <c r="J67" i="13"/>
  <c r="J63" i="13"/>
  <c r="J59" i="13"/>
  <c r="J55" i="13"/>
  <c r="J51" i="13"/>
  <c r="J47" i="13"/>
  <c r="J43" i="13"/>
  <c r="J39" i="13"/>
  <c r="J35" i="13"/>
  <c r="J31" i="13"/>
  <c r="J27" i="13"/>
  <c r="J23" i="13"/>
  <c r="J19" i="13"/>
  <c r="J15" i="13"/>
  <c r="J11" i="13"/>
  <c r="J210" i="13"/>
  <c r="J207" i="13"/>
  <c r="J199" i="13"/>
  <c r="J163" i="13"/>
  <c r="J152" i="13"/>
  <c r="J148" i="13"/>
  <c r="J143" i="13"/>
  <c r="J138" i="13"/>
  <c r="J123" i="13"/>
  <c r="J116" i="13"/>
  <c r="J114" i="13"/>
  <c r="J107" i="13"/>
  <c r="J100" i="13"/>
  <c r="J98" i="13"/>
  <c r="J91" i="13"/>
  <c r="J84" i="13"/>
  <c r="J82" i="13"/>
  <c r="J75" i="13"/>
  <c r="J72" i="13"/>
  <c r="J68" i="13"/>
  <c r="J64" i="13"/>
  <c r="J60" i="13"/>
  <c r="J56" i="13"/>
  <c r="J52" i="13"/>
  <c r="J48" i="13"/>
  <c r="J44" i="13"/>
  <c r="J40" i="13"/>
  <c r="J36" i="13"/>
  <c r="J162" i="13"/>
  <c r="J156" i="13"/>
  <c r="J147" i="13"/>
  <c r="J136" i="13"/>
  <c r="J132" i="13"/>
  <c r="J127" i="13"/>
  <c r="J122" i="13"/>
  <c r="J118" i="13"/>
  <c r="J111" i="13"/>
  <c r="J104" i="13"/>
  <c r="J102" i="13"/>
  <c r="J95" i="13"/>
  <c r="J202" i="13"/>
  <c r="J198" i="13"/>
  <c r="J195" i="13"/>
  <c r="J189" i="13"/>
  <c r="J146" i="13"/>
  <c r="J140" i="13"/>
  <c r="J131" i="13"/>
  <c r="J99" i="13"/>
  <c r="J92" i="13"/>
  <c r="J76" i="13"/>
  <c r="J74" i="13"/>
  <c r="J66" i="13"/>
  <c r="J58" i="13"/>
  <c r="J50" i="13"/>
  <c r="J42" i="13"/>
  <c r="J30" i="13"/>
  <c r="J28" i="13"/>
  <c r="J21" i="13"/>
  <c r="J14" i="13"/>
  <c r="J12" i="13"/>
  <c r="J206" i="13"/>
  <c r="J180" i="13"/>
  <c r="J150" i="13"/>
  <c r="J115" i="13"/>
  <c r="J108" i="13"/>
  <c r="J79" i="13"/>
  <c r="J73" i="13"/>
  <c r="J65" i="13"/>
  <c r="J57" i="13"/>
  <c r="J49" i="13"/>
  <c r="J41" i="13"/>
  <c r="J34" i="13"/>
  <c r="J32" i="13"/>
  <c r="J25" i="13"/>
  <c r="J18" i="13"/>
  <c r="J16" i="13"/>
  <c r="J9" i="13"/>
  <c r="J176" i="13"/>
  <c r="J120" i="13"/>
  <c r="J90" i="13"/>
  <c r="J88" i="13"/>
  <c r="J86" i="13"/>
  <c r="J83" i="13"/>
  <c r="J70" i="13"/>
  <c r="J62" i="13"/>
  <c r="J54" i="13"/>
  <c r="J46" i="13"/>
  <c r="J38" i="13"/>
  <c r="J29" i="13"/>
  <c r="J22" i="13"/>
  <c r="J20" i="13"/>
  <c r="J13" i="13"/>
  <c r="J188" i="13"/>
  <c r="J184" i="13"/>
  <c r="J155" i="13"/>
  <c r="J106" i="13"/>
  <c r="J69" i="13"/>
  <c r="J61" i="13"/>
  <c r="J53" i="13"/>
  <c r="J45" i="13"/>
  <c r="J37" i="13"/>
  <c r="J33" i="13"/>
  <c r="J26" i="13"/>
  <c r="J24" i="13"/>
  <c r="J17" i="13"/>
  <c r="J10" i="13"/>
  <c r="J8" i="13"/>
  <c r="K207" i="13"/>
  <c r="K203" i="13"/>
  <c r="K199" i="13"/>
  <c r="K195" i="13"/>
  <c r="K188" i="13"/>
  <c r="K184" i="13"/>
  <c r="K180" i="13"/>
  <c r="K176" i="13"/>
  <c r="K172" i="13"/>
  <c r="K168" i="13"/>
  <c r="K208" i="13"/>
  <c r="K204" i="13"/>
  <c r="K200" i="13"/>
  <c r="K196" i="13"/>
  <c r="K192" i="13"/>
  <c r="K191" i="13"/>
  <c r="K187" i="13"/>
  <c r="K183" i="13"/>
  <c r="K179" i="13"/>
  <c r="K175" i="13"/>
  <c r="K171" i="13"/>
  <c r="K167" i="13"/>
  <c r="K210" i="13"/>
  <c r="K202" i="13"/>
  <c r="K194" i="13"/>
  <c r="K162" i="13"/>
  <c r="K158" i="13"/>
  <c r="K154" i="13"/>
  <c r="K150" i="13"/>
  <c r="K146" i="13"/>
  <c r="K142" i="13"/>
  <c r="K138" i="13"/>
  <c r="K134" i="13"/>
  <c r="K130" i="13"/>
  <c r="K126" i="13"/>
  <c r="K122" i="13"/>
  <c r="K118" i="13"/>
  <c r="K114" i="13"/>
  <c r="K110" i="13"/>
  <c r="K106" i="13"/>
  <c r="K102" i="13"/>
  <c r="K98" i="13"/>
  <c r="K94" i="13"/>
  <c r="K90" i="13"/>
  <c r="K86" i="13"/>
  <c r="K82" i="13"/>
  <c r="K78" i="13"/>
  <c r="K74" i="13"/>
  <c r="K206" i="13"/>
  <c r="K205" i="13"/>
  <c r="K201" i="13"/>
  <c r="K189" i="13"/>
  <c r="K182" i="13"/>
  <c r="K170" i="13"/>
  <c r="K169" i="13"/>
  <c r="K164" i="13"/>
  <c r="K155" i="13"/>
  <c r="K153" i="13"/>
  <c r="K148" i="13"/>
  <c r="K139" i="13"/>
  <c r="K137" i="13"/>
  <c r="K132" i="13"/>
  <c r="K123" i="13"/>
  <c r="K121" i="13"/>
  <c r="K190" i="13"/>
  <c r="R192" i="13" s="1"/>
  <c r="K177" i="13"/>
  <c r="K174" i="13"/>
  <c r="K163" i="13"/>
  <c r="K152" i="13"/>
  <c r="K149" i="13"/>
  <c r="K144" i="13"/>
  <c r="K143" i="13"/>
  <c r="K129" i="13"/>
  <c r="K119" i="13"/>
  <c r="K116" i="13"/>
  <c r="K107" i="13"/>
  <c r="K105" i="13"/>
  <c r="K100" i="13"/>
  <c r="K91" i="13"/>
  <c r="K89" i="13"/>
  <c r="K84" i="13"/>
  <c r="K75" i="13"/>
  <c r="K72" i="13"/>
  <c r="K68" i="13"/>
  <c r="K64" i="13"/>
  <c r="K60" i="13"/>
  <c r="K56" i="13"/>
  <c r="K52" i="13"/>
  <c r="K48" i="13"/>
  <c r="K44" i="13"/>
  <c r="K40" i="13"/>
  <c r="K36" i="13"/>
  <c r="K32" i="13"/>
  <c r="K28" i="13"/>
  <c r="K24" i="13"/>
  <c r="K20" i="13"/>
  <c r="K16" i="13"/>
  <c r="K12" i="13"/>
  <c r="K8" i="13"/>
  <c r="K209" i="13"/>
  <c r="K197" i="13"/>
  <c r="K193" i="13"/>
  <c r="R195" i="13" s="1"/>
  <c r="K178" i="13"/>
  <c r="K157" i="13"/>
  <c r="K156" i="13"/>
  <c r="K147" i="13"/>
  <c r="K136" i="13"/>
  <c r="K133" i="13"/>
  <c r="K128" i="13"/>
  <c r="K127" i="13"/>
  <c r="K111" i="13"/>
  <c r="K109" i="13"/>
  <c r="K104" i="13"/>
  <c r="K95" i="13"/>
  <c r="K93" i="13"/>
  <c r="K88" i="13"/>
  <c r="K79" i="13"/>
  <c r="K77" i="13"/>
  <c r="K73" i="13"/>
  <c r="K69" i="13"/>
  <c r="K65" i="13"/>
  <c r="K61" i="13"/>
  <c r="K57" i="13"/>
  <c r="K53" i="13"/>
  <c r="K49" i="13"/>
  <c r="K45" i="13"/>
  <c r="K41" i="13"/>
  <c r="K37" i="13"/>
  <c r="K198" i="13"/>
  <c r="R200" i="13" s="1"/>
  <c r="K166" i="13"/>
  <c r="K161" i="13"/>
  <c r="K151" i="13"/>
  <c r="K141" i="13"/>
  <c r="K140" i="13"/>
  <c r="K131" i="13"/>
  <c r="K120" i="13"/>
  <c r="K115" i="13"/>
  <c r="K113" i="13"/>
  <c r="K108" i="13"/>
  <c r="K99" i="13"/>
  <c r="K97" i="13"/>
  <c r="K92" i="13"/>
  <c r="K185" i="13"/>
  <c r="K124" i="13"/>
  <c r="K103" i="13"/>
  <c r="K96" i="13"/>
  <c r="K34" i="13"/>
  <c r="K25" i="13"/>
  <c r="K23" i="13"/>
  <c r="K18" i="13"/>
  <c r="K9" i="13"/>
  <c r="K186" i="13"/>
  <c r="K173" i="13"/>
  <c r="K165" i="13"/>
  <c r="K159" i="13"/>
  <c r="K135" i="13"/>
  <c r="K125" i="13"/>
  <c r="K112" i="13"/>
  <c r="K83" i="13"/>
  <c r="K81" i="13"/>
  <c r="K80" i="13"/>
  <c r="K71" i="13"/>
  <c r="K70" i="13"/>
  <c r="K63" i="13"/>
  <c r="K62" i="13"/>
  <c r="K55" i="13"/>
  <c r="K54" i="13"/>
  <c r="K47" i="13"/>
  <c r="K46" i="13"/>
  <c r="K39" i="13"/>
  <c r="K38" i="13"/>
  <c r="K29" i="13"/>
  <c r="K27" i="13"/>
  <c r="K22" i="13"/>
  <c r="K13" i="13"/>
  <c r="K11" i="13"/>
  <c r="K181" i="13"/>
  <c r="K160" i="13"/>
  <c r="K101" i="13"/>
  <c r="K87" i="13"/>
  <c r="K85" i="13"/>
  <c r="K33" i="13"/>
  <c r="K31" i="13"/>
  <c r="K26" i="13"/>
  <c r="K17" i="13"/>
  <c r="K15" i="13"/>
  <c r="K10" i="13"/>
  <c r="K145" i="13"/>
  <c r="K117" i="13"/>
  <c r="K76" i="13"/>
  <c r="K67" i="13"/>
  <c r="K66" i="13"/>
  <c r="K59" i="13"/>
  <c r="K58" i="13"/>
  <c r="K51" i="13"/>
  <c r="K50" i="13"/>
  <c r="K43" i="13"/>
  <c r="K42" i="13"/>
  <c r="K35" i="13"/>
  <c r="K30" i="13"/>
  <c r="K21" i="13"/>
  <c r="K19" i="13"/>
  <c r="K14" i="13"/>
  <c r="L210" i="13"/>
  <c r="L206" i="13"/>
  <c r="L202" i="13"/>
  <c r="L198" i="13"/>
  <c r="L194" i="13"/>
  <c r="L189" i="13"/>
  <c r="L185" i="13"/>
  <c r="L181" i="13"/>
  <c r="L177" i="13"/>
  <c r="L173" i="13"/>
  <c r="L169" i="13"/>
  <c r="L207" i="13"/>
  <c r="L203" i="13"/>
  <c r="L199" i="13"/>
  <c r="S201" i="13" s="1"/>
  <c r="L195" i="13"/>
  <c r="L188" i="13"/>
  <c r="L184" i="13"/>
  <c r="L180" i="13"/>
  <c r="L176" i="13"/>
  <c r="L172" i="13"/>
  <c r="L168" i="13"/>
  <c r="L209" i="13"/>
  <c r="L208" i="13"/>
  <c r="S210" i="13" s="1"/>
  <c r="L201" i="13"/>
  <c r="L200" i="13"/>
  <c r="L193" i="13"/>
  <c r="L192" i="13"/>
  <c r="S194" i="13" s="1"/>
  <c r="L190" i="13"/>
  <c r="L182" i="13"/>
  <c r="L174" i="13"/>
  <c r="L166" i="13"/>
  <c r="L163" i="13"/>
  <c r="L159" i="13"/>
  <c r="L155" i="13"/>
  <c r="L151" i="13"/>
  <c r="L147" i="13"/>
  <c r="L143" i="13"/>
  <c r="L139" i="13"/>
  <c r="L135" i="13"/>
  <c r="L131" i="13"/>
  <c r="L127" i="13"/>
  <c r="L123" i="13"/>
  <c r="L119" i="13"/>
  <c r="L115" i="13"/>
  <c r="L111" i="13"/>
  <c r="L107" i="13"/>
  <c r="L103" i="13"/>
  <c r="L99" i="13"/>
  <c r="L95" i="13"/>
  <c r="L91" i="13"/>
  <c r="L87" i="13"/>
  <c r="L83" i="13"/>
  <c r="L79" i="13"/>
  <c r="L75" i="13"/>
  <c r="L197" i="13"/>
  <c r="L178" i="13"/>
  <c r="L175" i="13"/>
  <c r="L171" i="13"/>
  <c r="L162" i="13"/>
  <c r="L157" i="13"/>
  <c r="L152" i="13"/>
  <c r="L146" i="13"/>
  <c r="L141" i="13"/>
  <c r="L136" i="13"/>
  <c r="L130" i="13"/>
  <c r="L125" i="13"/>
  <c r="L120" i="13"/>
  <c r="L205" i="13"/>
  <c r="L156" i="13"/>
  <c r="L153" i="13"/>
  <c r="L148" i="13"/>
  <c r="L138" i="13"/>
  <c r="L133" i="13"/>
  <c r="L128" i="13"/>
  <c r="L114" i="13"/>
  <c r="L109" i="13"/>
  <c r="L104" i="13"/>
  <c r="L98" i="13"/>
  <c r="L93" i="13"/>
  <c r="L88" i="13"/>
  <c r="L82" i="13"/>
  <c r="L77" i="13"/>
  <c r="L73" i="13"/>
  <c r="L69" i="13"/>
  <c r="L65" i="13"/>
  <c r="L61" i="13"/>
  <c r="L57" i="13"/>
  <c r="L53" i="13"/>
  <c r="L49" i="13"/>
  <c r="L45" i="13"/>
  <c r="L41" i="13"/>
  <c r="L37" i="13"/>
  <c r="L33" i="13"/>
  <c r="L29" i="13"/>
  <c r="L25" i="13"/>
  <c r="L21" i="13"/>
  <c r="L17" i="13"/>
  <c r="L13" i="13"/>
  <c r="L9" i="13"/>
  <c r="L204" i="13"/>
  <c r="L191" i="13"/>
  <c r="L161" i="13"/>
  <c r="L158" i="13"/>
  <c r="L140" i="13"/>
  <c r="L137" i="13"/>
  <c r="L132" i="13"/>
  <c r="L122" i="13"/>
  <c r="L118" i="13"/>
  <c r="L113" i="13"/>
  <c r="L108" i="13"/>
  <c r="L102" i="13"/>
  <c r="L97" i="13"/>
  <c r="L92" i="13"/>
  <c r="L86" i="13"/>
  <c r="L81" i="13"/>
  <c r="L76" i="13"/>
  <c r="L70" i="13"/>
  <c r="L66" i="13"/>
  <c r="L62" i="13"/>
  <c r="L58" i="13"/>
  <c r="L54" i="13"/>
  <c r="L50" i="13"/>
  <c r="L46" i="13"/>
  <c r="L42" i="13"/>
  <c r="L38" i="13"/>
  <c r="L196" i="13"/>
  <c r="L186" i="13"/>
  <c r="L183" i="13"/>
  <c r="L179" i="13"/>
  <c r="L170" i="13"/>
  <c r="L165" i="13"/>
  <c r="L160" i="13"/>
  <c r="L150" i="13"/>
  <c r="L145" i="13"/>
  <c r="N145" i="13" s="1"/>
  <c r="L142" i="13"/>
  <c r="L124" i="13"/>
  <c r="L121" i="13"/>
  <c r="L117" i="13"/>
  <c r="L112" i="13"/>
  <c r="L106" i="13"/>
  <c r="L101" i="13"/>
  <c r="L96" i="13"/>
  <c r="L90" i="13"/>
  <c r="L167" i="13"/>
  <c r="L164" i="13"/>
  <c r="L149" i="13"/>
  <c r="L134" i="13"/>
  <c r="L80" i="13"/>
  <c r="L71" i="13"/>
  <c r="L63" i="13"/>
  <c r="L55" i="13"/>
  <c r="L47" i="13"/>
  <c r="N47" i="13" s="1"/>
  <c r="L39" i="13"/>
  <c r="L32" i="13"/>
  <c r="L27" i="13"/>
  <c r="L22" i="13"/>
  <c r="L16" i="13"/>
  <c r="L11" i="13"/>
  <c r="L100" i="13"/>
  <c r="L85" i="13"/>
  <c r="L78" i="13"/>
  <c r="L72" i="13"/>
  <c r="N72" i="13" s="1"/>
  <c r="L64" i="13"/>
  <c r="L56" i="13"/>
  <c r="L48" i="13"/>
  <c r="L40" i="13"/>
  <c r="L31" i="13"/>
  <c r="L26" i="13"/>
  <c r="L20" i="13"/>
  <c r="L15" i="13"/>
  <c r="L10" i="13"/>
  <c r="L187" i="13"/>
  <c r="N187" i="13" s="1"/>
  <c r="L154" i="13"/>
  <c r="L144" i="13"/>
  <c r="L129" i="13"/>
  <c r="L126" i="13"/>
  <c r="L116" i="13"/>
  <c r="L105" i="13"/>
  <c r="N105" i="13" s="1"/>
  <c r="L94" i="13"/>
  <c r="L89" i="13"/>
  <c r="L84" i="13"/>
  <c r="L67" i="13"/>
  <c r="N67" i="13" s="1"/>
  <c r="L59" i="13"/>
  <c r="L51" i="13"/>
  <c r="L43" i="13"/>
  <c r="L35" i="13"/>
  <c r="N35" i="13" s="1"/>
  <c r="L30" i="13"/>
  <c r="L24" i="13"/>
  <c r="L19" i="13"/>
  <c r="L14" i="13"/>
  <c r="L8" i="13"/>
  <c r="L110" i="13"/>
  <c r="L74" i="13"/>
  <c r="L68" i="13"/>
  <c r="L60" i="13"/>
  <c r="L52" i="13"/>
  <c r="L44" i="13"/>
  <c r="L36" i="13"/>
  <c r="L34" i="13"/>
  <c r="L28" i="13"/>
  <c r="L23" i="13"/>
  <c r="L18" i="13"/>
  <c r="L12" i="13"/>
  <c r="M209" i="13"/>
  <c r="M205" i="13"/>
  <c r="M201" i="13"/>
  <c r="M197" i="13"/>
  <c r="M193" i="13"/>
  <c r="M190" i="13"/>
  <c r="M186" i="13"/>
  <c r="M182" i="13"/>
  <c r="M178" i="13"/>
  <c r="M174" i="13"/>
  <c r="M170" i="13"/>
  <c r="M166" i="13"/>
  <c r="M210" i="13"/>
  <c r="M206" i="13"/>
  <c r="M202" i="13"/>
  <c r="M198" i="13"/>
  <c r="M194" i="13"/>
  <c r="M189" i="13"/>
  <c r="M185" i="13"/>
  <c r="M181" i="13"/>
  <c r="M177" i="13"/>
  <c r="M173" i="13"/>
  <c r="M169" i="13"/>
  <c r="M203" i="13"/>
  <c r="M195" i="13"/>
  <c r="M191" i="13"/>
  <c r="M184" i="13"/>
  <c r="M183" i="13"/>
  <c r="M176" i="13"/>
  <c r="M175" i="13"/>
  <c r="N175" i="13" s="1"/>
  <c r="M168" i="13"/>
  <c r="N168" i="13" s="1"/>
  <c r="M167" i="13"/>
  <c r="M164" i="13"/>
  <c r="M160" i="13"/>
  <c r="M156" i="13"/>
  <c r="M152" i="13"/>
  <c r="M148" i="13"/>
  <c r="M144" i="13"/>
  <c r="M140" i="13"/>
  <c r="M136" i="13"/>
  <c r="M132" i="13"/>
  <c r="M128" i="13"/>
  <c r="M124" i="13"/>
  <c r="M120" i="13"/>
  <c r="M116" i="13"/>
  <c r="M112" i="13"/>
  <c r="M108" i="13"/>
  <c r="M104" i="13"/>
  <c r="M100" i="13"/>
  <c r="M96" i="13"/>
  <c r="M92" i="13"/>
  <c r="M88" i="13"/>
  <c r="M84" i="13"/>
  <c r="M80" i="13"/>
  <c r="M76" i="13"/>
  <c r="M208" i="13"/>
  <c r="M180" i="13"/>
  <c r="M179" i="13"/>
  <c r="M161" i="13"/>
  <c r="M159" i="13"/>
  <c r="M150" i="13"/>
  <c r="M145" i="13"/>
  <c r="M143" i="13"/>
  <c r="M134" i="13"/>
  <c r="M129" i="13"/>
  <c r="M127" i="13"/>
  <c r="M207" i="13"/>
  <c r="M204" i="13"/>
  <c r="T206" i="13" s="1"/>
  <c r="M200" i="13"/>
  <c r="M199" i="13"/>
  <c r="M172" i="13"/>
  <c r="M158" i="13"/>
  <c r="M157" i="13"/>
  <c r="N157" i="13" s="1"/>
  <c r="M147" i="13"/>
  <c r="M137" i="13"/>
  <c r="M123" i="13"/>
  <c r="M122" i="13"/>
  <c r="M118" i="13"/>
  <c r="M113" i="13"/>
  <c r="M111" i="13"/>
  <c r="M102" i="13"/>
  <c r="M97" i="13"/>
  <c r="M95" i="13"/>
  <c r="M86" i="13"/>
  <c r="M81" i="13"/>
  <c r="M79" i="13"/>
  <c r="M70" i="13"/>
  <c r="M66" i="13"/>
  <c r="M62" i="13"/>
  <c r="M58" i="13"/>
  <c r="M54" i="13"/>
  <c r="M50" i="13"/>
  <c r="M46" i="13"/>
  <c r="M42" i="13"/>
  <c r="M38" i="13"/>
  <c r="M34" i="13"/>
  <c r="M30" i="13"/>
  <c r="M26" i="13"/>
  <c r="M22" i="13"/>
  <c r="M18" i="13"/>
  <c r="M14" i="13"/>
  <c r="M10" i="13"/>
  <c r="M196" i="13"/>
  <c r="M192" i="13"/>
  <c r="M165" i="13"/>
  <c r="M162" i="13"/>
  <c r="M151" i="13"/>
  <c r="M142" i="13"/>
  <c r="M141" i="13"/>
  <c r="M131" i="13"/>
  <c r="N131" i="13" s="1"/>
  <c r="M121" i="13"/>
  <c r="N121" i="13" s="1"/>
  <c r="M117" i="13"/>
  <c r="M115" i="13"/>
  <c r="M106" i="13"/>
  <c r="M101" i="13"/>
  <c r="M99" i="13"/>
  <c r="M90" i="13"/>
  <c r="M85" i="13"/>
  <c r="M83" i="13"/>
  <c r="N83" i="13" s="1"/>
  <c r="M74" i="13"/>
  <c r="M71" i="13"/>
  <c r="M67" i="13"/>
  <c r="M63" i="13"/>
  <c r="M59" i="13"/>
  <c r="M55" i="13"/>
  <c r="M51" i="13"/>
  <c r="M47" i="13"/>
  <c r="M43" i="13"/>
  <c r="M39" i="13"/>
  <c r="M35" i="13"/>
  <c r="M188" i="13"/>
  <c r="M187" i="13"/>
  <c r="M155" i="13"/>
  <c r="M154" i="13"/>
  <c r="M149" i="13"/>
  <c r="M146" i="13"/>
  <c r="M135" i="13"/>
  <c r="M126" i="13"/>
  <c r="M125" i="13"/>
  <c r="M110" i="13"/>
  <c r="M105" i="13"/>
  <c r="M103" i="13"/>
  <c r="M94" i="13"/>
  <c r="N94" i="13" s="1"/>
  <c r="M114" i="13"/>
  <c r="M107" i="13"/>
  <c r="M78" i="13"/>
  <c r="M77" i="13"/>
  <c r="M75" i="13"/>
  <c r="M73" i="13"/>
  <c r="M72" i="13"/>
  <c r="M65" i="13"/>
  <c r="M64" i="13"/>
  <c r="M57" i="13"/>
  <c r="M56" i="13"/>
  <c r="M49" i="13"/>
  <c r="M48" i="13"/>
  <c r="M41" i="13"/>
  <c r="M40" i="13"/>
  <c r="M31" i="13"/>
  <c r="M29" i="13"/>
  <c r="M20" i="13"/>
  <c r="M15" i="13"/>
  <c r="M13" i="13"/>
  <c r="M153" i="13"/>
  <c r="M119" i="13"/>
  <c r="M93" i="13"/>
  <c r="M89" i="13"/>
  <c r="N89" i="13" s="1"/>
  <c r="M87" i="13"/>
  <c r="M33" i="13"/>
  <c r="M24" i="13"/>
  <c r="M19" i="13"/>
  <c r="N19" i="13" s="1"/>
  <c r="M17" i="13"/>
  <c r="M8" i="13"/>
  <c r="N8" i="13" s="1"/>
  <c r="M138" i="13"/>
  <c r="M109" i="13"/>
  <c r="M82" i="13"/>
  <c r="M69" i="13"/>
  <c r="M68" i="13"/>
  <c r="M61" i="13"/>
  <c r="M60" i="13"/>
  <c r="M53" i="13"/>
  <c r="M52" i="13"/>
  <c r="M45" i="13"/>
  <c r="M44" i="13"/>
  <c r="M37" i="13"/>
  <c r="M36" i="13"/>
  <c r="M28" i="13"/>
  <c r="M23" i="13"/>
  <c r="M21" i="13"/>
  <c r="M12" i="13"/>
  <c r="M171" i="13"/>
  <c r="M163" i="13"/>
  <c r="N163" i="13" s="1"/>
  <c r="M139" i="13"/>
  <c r="M133" i="13"/>
  <c r="M130" i="13"/>
  <c r="M98" i="13"/>
  <c r="M91" i="13"/>
  <c r="M32" i="13"/>
  <c r="M27" i="13"/>
  <c r="M25" i="13"/>
  <c r="M16" i="13"/>
  <c r="M11" i="13"/>
  <c r="M9" i="13"/>
  <c r="N20" i="13"/>
  <c r="N86" i="13"/>
  <c r="N33" i="13"/>
  <c r="N40" i="13"/>
  <c r="N56" i="13"/>
  <c r="N78" i="13"/>
  <c r="N77" i="13"/>
  <c r="N51" i="13"/>
  <c r="N91" i="13"/>
  <c r="N127" i="13"/>
  <c r="P205" i="13"/>
  <c r="N109" i="13"/>
  <c r="N191" i="13"/>
  <c r="P193" i="13"/>
  <c r="P195" i="13"/>
  <c r="P194" i="13"/>
  <c r="P206" i="13"/>
  <c r="N129" i="13"/>
  <c r="P192" i="13"/>
  <c r="N200" i="13"/>
  <c r="P202" i="13"/>
  <c r="P203" i="13"/>
  <c r="P209" i="13"/>
  <c r="N125" i="13"/>
  <c r="P197" i="13"/>
  <c r="P201" i="13"/>
  <c r="P204" i="13"/>
  <c r="P210" i="13"/>
  <c r="N165" i="13"/>
  <c r="P196" i="13"/>
  <c r="P198" i="13"/>
  <c r="P199" i="13"/>
  <c r="P200" i="13"/>
  <c r="P207" i="13"/>
  <c r="P208" i="13"/>
  <c r="N201" i="13"/>
  <c r="N205" i="13"/>
  <c r="B2" i="13"/>
  <c r="B1" i="13" s="1"/>
  <c r="C7" i="13"/>
  <c r="A7" i="13"/>
  <c r="E7" i="13"/>
  <c r="F7" i="13"/>
  <c r="D7" i="13"/>
  <c r="K38" i="12"/>
  <c r="J38" i="12"/>
  <c r="I38" i="12"/>
  <c r="H38" i="12"/>
  <c r="N174" i="13" l="1"/>
  <c r="N21" i="13"/>
  <c r="N103" i="13"/>
  <c r="N79" i="13"/>
  <c r="N171" i="13"/>
  <c r="R202" i="13"/>
  <c r="N24" i="13"/>
  <c r="N106" i="13"/>
  <c r="N13" i="13"/>
  <c r="N115" i="13"/>
  <c r="N99" i="13"/>
  <c r="N52" i="13"/>
  <c r="N138" i="13"/>
  <c r="N11" i="13"/>
  <c r="N43" i="13"/>
  <c r="N59" i="13"/>
  <c r="N154" i="13"/>
  <c r="N101" i="13"/>
  <c r="N117" i="13"/>
  <c r="N133" i="13"/>
  <c r="N166" i="13"/>
  <c r="N182" i="13"/>
  <c r="N167" i="13"/>
  <c r="N63" i="13"/>
  <c r="N110" i="13"/>
  <c r="T194" i="13"/>
  <c r="T200" i="13"/>
  <c r="N31" i="13"/>
  <c r="N90" i="13"/>
  <c r="N142" i="13"/>
  <c r="N186" i="13"/>
  <c r="N122" i="13"/>
  <c r="N93" i="13"/>
  <c r="S199" i="13"/>
  <c r="N176" i="13"/>
  <c r="S204" i="13"/>
  <c r="N15" i="13"/>
  <c r="N147" i="13"/>
  <c r="N44" i="13"/>
  <c r="N60" i="13"/>
  <c r="N149" i="13"/>
  <c r="N153" i="13"/>
  <c r="N170" i="13"/>
  <c r="R207" i="13"/>
  <c r="N98" i="13"/>
  <c r="N114" i="13"/>
  <c r="R198" i="13"/>
  <c r="N17" i="13"/>
  <c r="N37" i="13"/>
  <c r="N69" i="13"/>
  <c r="N188" i="13"/>
  <c r="N29" i="13"/>
  <c r="N32" i="13"/>
  <c r="N108" i="13"/>
  <c r="N162" i="13"/>
  <c r="N82" i="13"/>
  <c r="N210" i="13"/>
  <c r="N23" i="13"/>
  <c r="N139" i="13"/>
  <c r="N173" i="13"/>
  <c r="N128" i="13"/>
  <c r="N172" i="13"/>
  <c r="N97" i="13"/>
  <c r="N161" i="13"/>
  <c r="N178" i="13"/>
  <c r="Q195" i="13"/>
  <c r="N209" i="13"/>
  <c r="N179" i="13"/>
  <c r="N192" i="13"/>
  <c r="U192" i="13" s="1"/>
  <c r="M7" i="13"/>
  <c r="L7" i="13"/>
  <c r="K7" i="13"/>
  <c r="J7" i="13"/>
  <c r="H7" i="13"/>
  <c r="T205" i="13"/>
  <c r="T199" i="13"/>
  <c r="N87" i="13"/>
  <c r="S197" i="13"/>
  <c r="R205" i="13"/>
  <c r="N62" i="13"/>
  <c r="Q208" i="13"/>
  <c r="N206" i="13"/>
  <c r="U206" i="13" s="1"/>
  <c r="N58" i="13"/>
  <c r="N146" i="13"/>
  <c r="Q204" i="13"/>
  <c r="N202" i="13"/>
  <c r="U202" i="13" s="1"/>
  <c r="N48" i="13"/>
  <c r="N123" i="13"/>
  <c r="N39" i="13"/>
  <c r="N71" i="13"/>
  <c r="Q210" i="13"/>
  <c r="N196" i="13"/>
  <c r="T198" i="13"/>
  <c r="T204" i="13"/>
  <c r="R199" i="13"/>
  <c r="R208" i="13"/>
  <c r="R209" i="13"/>
  <c r="N70" i="13"/>
  <c r="N16" i="13"/>
  <c r="N34" i="13"/>
  <c r="N65" i="13"/>
  <c r="N12" i="13"/>
  <c r="N30" i="13"/>
  <c r="N66" i="13"/>
  <c r="N189" i="13"/>
  <c r="N95" i="13"/>
  <c r="N118" i="13"/>
  <c r="N136" i="13"/>
  <c r="N36" i="13"/>
  <c r="N68" i="13"/>
  <c r="N84" i="13"/>
  <c r="N107" i="13"/>
  <c r="N27" i="13"/>
  <c r="N96" i="13"/>
  <c r="N124" i="13"/>
  <c r="Q196" i="13"/>
  <c r="N194" i="13"/>
  <c r="N135" i="13"/>
  <c r="N158" i="13"/>
  <c r="N181" i="13"/>
  <c r="N85" i="13"/>
  <c r="Q199" i="13"/>
  <c r="N197" i="13"/>
  <c r="N183" i="13"/>
  <c r="Q198" i="13"/>
  <c r="N193" i="13"/>
  <c r="U193" i="13" s="1"/>
  <c r="N195" i="13"/>
  <c r="U195" i="13" s="1"/>
  <c r="N74" i="13"/>
  <c r="N25" i="13"/>
  <c r="N88" i="13"/>
  <c r="N9" i="13"/>
  <c r="N57" i="13"/>
  <c r="N28" i="13"/>
  <c r="N92" i="13"/>
  <c r="N111" i="13"/>
  <c r="N132" i="13"/>
  <c r="N64" i="13"/>
  <c r="N100" i="13"/>
  <c r="N152" i="13"/>
  <c r="N55" i="13"/>
  <c r="N112" i="13"/>
  <c r="N151" i="13"/>
  <c r="N81" i="13"/>
  <c r="N113" i="13"/>
  <c r="N185" i="13"/>
  <c r="Q194" i="13"/>
  <c r="U201" i="13"/>
  <c r="N208" i="13"/>
  <c r="T209" i="13"/>
  <c r="T203" i="13"/>
  <c r="S198" i="13"/>
  <c r="S195" i="13"/>
  <c r="S208" i="13"/>
  <c r="N141" i="13"/>
  <c r="N137" i="13"/>
  <c r="R196" i="13"/>
  <c r="N45" i="13"/>
  <c r="N38" i="13"/>
  <c r="N190" i="13"/>
  <c r="N204" i="13"/>
  <c r="N203" i="13"/>
  <c r="U203" i="13" s="1"/>
  <c r="T207" i="13"/>
  <c r="S193" i="13"/>
  <c r="S202" i="13"/>
  <c r="S205" i="13"/>
  <c r="S196" i="13"/>
  <c r="R204" i="13"/>
  <c r="R193" i="13"/>
  <c r="R206" i="13"/>
  <c r="R197" i="13"/>
  <c r="N26" i="13"/>
  <c r="N53" i="13"/>
  <c r="N155" i="13"/>
  <c r="N46" i="13"/>
  <c r="N120" i="13"/>
  <c r="N18" i="13"/>
  <c r="N41" i="13"/>
  <c r="N73" i="13"/>
  <c r="N150" i="13"/>
  <c r="N14" i="13"/>
  <c r="N42" i="13"/>
  <c r="Q197" i="13"/>
  <c r="N102" i="13"/>
  <c r="N143" i="13"/>
  <c r="N199" i="13"/>
  <c r="Q201" i="13"/>
  <c r="N80" i="13"/>
  <c r="N130" i="13"/>
  <c r="N159" i="13"/>
  <c r="N119" i="13"/>
  <c r="N160" i="13"/>
  <c r="Q205" i="13"/>
  <c r="N169" i="13"/>
  <c r="Q203" i="13"/>
  <c r="Q202" i="13"/>
  <c r="T201" i="13"/>
  <c r="T193" i="13"/>
  <c r="T208" i="13"/>
  <c r="T192" i="13"/>
  <c r="T202" i="13"/>
  <c r="T197" i="13"/>
  <c r="T196" i="13"/>
  <c r="T195" i="13"/>
  <c r="S206" i="13"/>
  <c r="S207" i="13"/>
  <c r="S192" i="13"/>
  <c r="S203" i="13"/>
  <c r="S209" i="13"/>
  <c r="S200" i="13"/>
  <c r="R203" i="13"/>
  <c r="R194" i="13"/>
  <c r="R210" i="13"/>
  <c r="R201" i="13"/>
  <c r="N10" i="13"/>
  <c r="N61" i="13"/>
  <c r="N184" i="13"/>
  <c r="N22" i="13"/>
  <c r="N54" i="13"/>
  <c r="N49" i="13"/>
  <c r="N180" i="13"/>
  <c r="N50" i="13"/>
  <c r="N76" i="13"/>
  <c r="N140" i="13"/>
  <c r="Q200" i="13"/>
  <c r="N198" i="13"/>
  <c r="U198" i="13" s="1"/>
  <c r="N104" i="13"/>
  <c r="N156" i="13"/>
  <c r="N75" i="13"/>
  <c r="N116" i="13"/>
  <c r="N148" i="13"/>
  <c r="N207" i="13"/>
  <c r="U207" i="13" s="1"/>
  <c r="Q209" i="13"/>
  <c r="N134" i="13"/>
  <c r="N164" i="13"/>
  <c r="N126" i="13"/>
  <c r="N144" i="13"/>
  <c r="N177" i="13"/>
  <c r="Q192" i="13"/>
  <c r="Q207" i="13"/>
  <c r="Q193" i="13"/>
  <c r="Q206" i="13"/>
  <c r="F38" i="12"/>
  <c r="E38" i="12"/>
  <c r="D38" i="12"/>
  <c r="C38" i="12"/>
  <c r="K37" i="12"/>
  <c r="J37" i="12"/>
  <c r="I37" i="12"/>
  <c r="H37" i="12"/>
  <c r="N7" i="13" l="1"/>
  <c r="U210" i="13"/>
  <c r="U196" i="13"/>
  <c r="U197" i="13"/>
  <c r="U199" i="13"/>
  <c r="U204" i="13"/>
  <c r="U208" i="13"/>
  <c r="U200" i="13"/>
  <c r="U194" i="13"/>
  <c r="U205" i="13"/>
  <c r="F37" i="12"/>
  <c r="E37" i="12"/>
  <c r="D37" i="12"/>
  <c r="C37" i="12"/>
  <c r="K36" i="12"/>
  <c r="J36" i="12"/>
  <c r="I36" i="12"/>
  <c r="H36" i="12"/>
  <c r="F36" i="12"/>
  <c r="E36" i="12"/>
  <c r="D36" i="12"/>
  <c r="C36" i="12"/>
  <c r="K35" i="12"/>
  <c r="J35" i="12"/>
  <c r="I35" i="12"/>
  <c r="H35" i="12"/>
  <c r="F35" i="12"/>
  <c r="E35" i="12"/>
  <c r="D35" i="12"/>
  <c r="C35" i="12"/>
  <c r="K34" i="12"/>
  <c r="J34" i="12"/>
  <c r="I34" i="12"/>
  <c r="H34" i="12"/>
  <c r="F34" i="12"/>
  <c r="E34" i="12"/>
  <c r="D34" i="12"/>
  <c r="C34" i="12"/>
  <c r="K33" i="12"/>
  <c r="J33" i="12"/>
  <c r="I33" i="12"/>
  <c r="H33" i="12"/>
  <c r="F33" i="12"/>
  <c r="E33" i="12"/>
  <c r="D33" i="12"/>
  <c r="C33" i="12"/>
  <c r="K31" i="12"/>
  <c r="J31" i="12"/>
  <c r="I31" i="12"/>
  <c r="H31" i="12"/>
  <c r="F31" i="12"/>
  <c r="E31" i="12"/>
  <c r="D31" i="12"/>
  <c r="C31" i="12"/>
  <c r="K30" i="12"/>
  <c r="J30" i="12"/>
  <c r="I30" i="12"/>
  <c r="H30" i="12"/>
  <c r="F30" i="12"/>
  <c r="E30" i="12"/>
  <c r="D30" i="12"/>
  <c r="C30" i="12"/>
  <c r="K29" i="12"/>
  <c r="J29" i="12"/>
  <c r="I29" i="12"/>
  <c r="H29" i="12"/>
  <c r="F29" i="12"/>
  <c r="E29" i="12"/>
  <c r="D29" i="12"/>
  <c r="C29" i="12"/>
  <c r="K28" i="12"/>
  <c r="J28" i="12"/>
  <c r="I28" i="12"/>
  <c r="H28" i="12"/>
  <c r="F28" i="12"/>
  <c r="E28" i="12"/>
  <c r="D28" i="12"/>
  <c r="C28" i="12"/>
  <c r="K27" i="12"/>
  <c r="J27" i="12"/>
  <c r="I27" i="12"/>
  <c r="H27" i="12"/>
  <c r="F27" i="12"/>
  <c r="E27" i="12"/>
  <c r="D27" i="12"/>
  <c r="C27" i="12"/>
  <c r="K25" i="12"/>
  <c r="J25" i="12"/>
  <c r="I25" i="12"/>
  <c r="H25" i="12"/>
  <c r="F25" i="12"/>
  <c r="E25" i="12"/>
  <c r="D25" i="12"/>
  <c r="C25" i="12"/>
  <c r="K24" i="12"/>
  <c r="J24" i="12"/>
  <c r="I24" i="12"/>
  <c r="H24" i="12"/>
  <c r="F24" i="12"/>
  <c r="E24" i="12"/>
  <c r="D24" i="12"/>
  <c r="C24" i="12"/>
  <c r="K23" i="12"/>
  <c r="J23" i="12"/>
  <c r="I23" i="12"/>
  <c r="H23" i="12"/>
  <c r="F23" i="12"/>
  <c r="E23" i="12"/>
  <c r="D23" i="12"/>
  <c r="C23" i="12"/>
  <c r="K22" i="12"/>
  <c r="J22" i="12"/>
  <c r="I22" i="12"/>
  <c r="H22" i="12"/>
  <c r="F22" i="12"/>
  <c r="E22" i="12"/>
  <c r="D22" i="12"/>
  <c r="C22" i="12"/>
  <c r="K21" i="12"/>
  <c r="J21" i="12"/>
  <c r="I21" i="12"/>
  <c r="H21" i="12"/>
  <c r="F21" i="12"/>
  <c r="E21" i="12"/>
  <c r="D21" i="12"/>
  <c r="C21" i="12"/>
  <c r="K19" i="12"/>
  <c r="J19" i="12"/>
  <c r="I19" i="12"/>
  <c r="H19" i="12"/>
  <c r="F19" i="12"/>
  <c r="E19" i="12"/>
  <c r="D19" i="12"/>
  <c r="C19" i="12"/>
  <c r="K18" i="12"/>
  <c r="J18" i="12"/>
  <c r="I18" i="12"/>
  <c r="H18" i="12"/>
  <c r="F18" i="12"/>
  <c r="E18" i="12"/>
  <c r="D18" i="12"/>
  <c r="C18" i="12"/>
  <c r="K17" i="12"/>
  <c r="J17" i="12"/>
  <c r="I17" i="12"/>
  <c r="H17" i="12"/>
  <c r="F17" i="12"/>
  <c r="E17" i="12"/>
  <c r="D17" i="12"/>
  <c r="C17" i="12"/>
  <c r="K16" i="12"/>
  <c r="J16" i="12"/>
  <c r="I16" i="12"/>
  <c r="H16" i="12"/>
  <c r="F16" i="12"/>
  <c r="E16" i="12"/>
  <c r="D16" i="12"/>
  <c r="C16" i="12"/>
  <c r="K15" i="12"/>
  <c r="J15" i="12"/>
  <c r="I15" i="12"/>
  <c r="H15" i="12"/>
  <c r="F15" i="12"/>
  <c r="E15" i="12"/>
  <c r="D15" i="12"/>
  <c r="C15" i="12"/>
  <c r="K13" i="12"/>
  <c r="J13" i="12"/>
  <c r="I13" i="12"/>
  <c r="H13" i="12"/>
  <c r="F13" i="12"/>
  <c r="E13" i="12"/>
  <c r="D13" i="12"/>
  <c r="C13" i="12"/>
  <c r="K12" i="12"/>
  <c r="J12" i="12"/>
  <c r="I12" i="12"/>
  <c r="H12" i="12"/>
  <c r="F12" i="12"/>
  <c r="E12" i="12"/>
  <c r="D12" i="12"/>
  <c r="C12" i="12"/>
  <c r="K11" i="12"/>
  <c r="J11" i="12"/>
  <c r="I11" i="12"/>
  <c r="H11" i="12"/>
  <c r="F11" i="12"/>
  <c r="E11" i="12"/>
  <c r="D11" i="12"/>
  <c r="C11" i="12"/>
  <c r="K10" i="12"/>
  <c r="J10" i="12"/>
  <c r="I10" i="12"/>
  <c r="H10" i="12"/>
  <c r="F10" i="12"/>
  <c r="E10" i="12"/>
  <c r="D10" i="12"/>
  <c r="C10" i="12"/>
  <c r="K9" i="12"/>
  <c r="J9" i="12"/>
  <c r="I9" i="12"/>
  <c r="H9" i="12"/>
  <c r="F9" i="12"/>
  <c r="E9" i="12"/>
  <c r="D9" i="12"/>
  <c r="C9" i="12"/>
  <c r="K8" i="12"/>
  <c r="J8" i="12"/>
  <c r="I8" i="12"/>
  <c r="H8" i="12"/>
  <c r="F8" i="12"/>
  <c r="E8" i="12"/>
  <c r="D8" i="12"/>
  <c r="C8" i="12"/>
  <c r="K6" i="12"/>
  <c r="J6" i="12"/>
  <c r="I6" i="12"/>
  <c r="H6" i="12"/>
  <c r="F6" i="12"/>
  <c r="E6" i="12"/>
  <c r="D6" i="12"/>
  <c r="C6" i="12"/>
  <c r="K5" i="12"/>
  <c r="J5" i="12"/>
  <c r="I5" i="12"/>
  <c r="H5" i="12"/>
  <c r="F5" i="12"/>
  <c r="E5" i="12"/>
  <c r="D5" i="12"/>
  <c r="C5" i="12"/>
  <c r="K4" i="12"/>
  <c r="J4" i="12"/>
  <c r="I4" i="12"/>
  <c r="H4" i="12"/>
  <c r="F4" i="12"/>
  <c r="E4" i="12"/>
  <c r="D4" i="12"/>
  <c r="C4" i="12"/>
  <c r="K3" i="12"/>
  <c r="J3" i="12"/>
  <c r="I3" i="12"/>
  <c r="H3" i="12"/>
  <c r="F3" i="12"/>
  <c r="E3" i="12"/>
  <c r="D3" i="12"/>
  <c r="C3" i="12"/>
  <c r="K2" i="12"/>
  <c r="J2" i="12"/>
  <c r="I2" i="12"/>
  <c r="H2" i="12"/>
  <c r="F2" i="12"/>
  <c r="E2" i="12"/>
  <c r="D2" i="12"/>
  <c r="C2" i="12"/>
  <c r="AN226" i="10" a="1"/>
  <c r="AN226" i="10" l="1"/>
  <c r="AM226" i="10" a="1"/>
  <c r="AM226" i="10" l="1"/>
  <c r="AL226" i="10" a="1"/>
  <c r="AL226" i="10" l="1"/>
  <c r="AN225" i="10" a="1"/>
  <c r="AN225" i="10" l="1"/>
  <c r="AM225" i="10" a="1"/>
  <c r="AM225" i="10" l="1"/>
  <c r="AL225" i="10" a="1"/>
  <c r="AL225" i="10" l="1"/>
  <c r="AN224" i="10" a="1"/>
  <c r="AN224" i="10" l="1"/>
  <c r="AM224" i="10" a="1"/>
  <c r="AM224" i="10" l="1"/>
  <c r="AL224" i="10" a="1"/>
  <c r="AL224" i="10" l="1"/>
  <c r="AN223" i="10" a="1"/>
  <c r="AN223" i="10" l="1"/>
  <c r="AM223" i="10" a="1"/>
  <c r="AM223" i="10" l="1"/>
  <c r="AL223" i="10" a="1"/>
  <c r="AL223" i="10" l="1"/>
  <c r="AN222" i="10" a="1"/>
  <c r="AN222" i="10" l="1"/>
  <c r="AM222" i="10" a="1"/>
  <c r="AM222" i="10" l="1"/>
  <c r="AL222" i="10" a="1"/>
  <c r="AL222" i="10" l="1"/>
  <c r="AN221" i="10" a="1"/>
  <c r="AN221" i="10" l="1"/>
  <c r="AM221" i="10" a="1"/>
  <c r="AM221" i="10" l="1"/>
  <c r="AL221" i="10" a="1"/>
  <c r="AL221" i="10" l="1"/>
  <c r="AN220" i="10" a="1"/>
  <c r="AN220" i="10" l="1"/>
  <c r="AM220" i="10" a="1"/>
  <c r="AM220" i="10" l="1"/>
  <c r="AL220" i="10" a="1"/>
  <c r="AL220" i="10" l="1"/>
  <c r="AN219" i="10" a="1"/>
  <c r="AN219" i="10" l="1"/>
  <c r="AM219" i="10" a="1"/>
  <c r="AM219" i="10" l="1"/>
  <c r="AL219" i="10" a="1"/>
  <c r="AL219" i="10" l="1"/>
  <c r="AN218" i="10" a="1"/>
  <c r="AN218" i="10" l="1"/>
  <c r="AM218" i="10" a="1"/>
  <c r="AM218" i="10" l="1"/>
  <c r="AL218" i="10" a="1"/>
  <c r="AL218" i="10" l="1"/>
  <c r="AN217" i="10" a="1"/>
  <c r="AN217" i="10" l="1"/>
  <c r="AM217" i="10" a="1"/>
  <c r="AM217" i="10" l="1"/>
  <c r="AL217" i="10" a="1"/>
  <c r="AL217" i="10" l="1"/>
  <c r="AN216" i="10" a="1"/>
  <c r="AN216" i="10" l="1"/>
  <c r="AM216" i="10" a="1"/>
  <c r="AM216" i="10" l="1"/>
  <c r="AL216" i="10" a="1"/>
  <c r="AL216" i="10" l="1"/>
  <c r="AN215" i="10" a="1"/>
  <c r="AN215" i="10" l="1"/>
  <c r="AM215" i="10" a="1"/>
  <c r="AM215" i="10" l="1"/>
  <c r="AL215" i="10" a="1"/>
  <c r="AL215" i="10" l="1"/>
  <c r="AN214" i="10" a="1"/>
  <c r="AN214" i="10" l="1"/>
  <c r="AM214" i="10" a="1"/>
  <c r="AM214" i="10" l="1"/>
  <c r="AL214" i="10" a="1"/>
  <c r="AL214" i="10" l="1"/>
  <c r="AN213" i="10" a="1"/>
  <c r="AN213" i="10" l="1"/>
  <c r="AM213" i="10" a="1"/>
  <c r="AM213" i="10" l="1"/>
  <c r="AL213" i="10" a="1"/>
  <c r="AL213" i="10" l="1"/>
  <c r="AN212" i="10" a="1"/>
  <c r="AN212" i="10" l="1"/>
  <c r="AM212" i="10" a="1"/>
  <c r="AM212" i="10" l="1"/>
  <c r="AL212" i="10" a="1"/>
  <c r="AL212" i="10" l="1"/>
  <c r="AN211" i="10" a="1"/>
  <c r="AN211" i="10" l="1"/>
  <c r="AM211" i="10" a="1"/>
  <c r="AM211" i="10" l="1"/>
  <c r="AL211" i="10" a="1"/>
  <c r="AL211" i="10" l="1"/>
  <c r="AN210" i="10" a="1"/>
  <c r="AN210" i="10" l="1"/>
  <c r="AM210" i="10" a="1"/>
  <c r="AM210" i="10" l="1"/>
  <c r="AL210" i="10" a="1"/>
  <c r="AL210" i="10" l="1"/>
  <c r="AN209" i="10" a="1"/>
  <c r="AN209" i="10" l="1"/>
  <c r="AM209" i="10" a="1"/>
  <c r="AM209" i="10" l="1"/>
  <c r="AL209" i="10" a="1"/>
  <c r="AL209" i="10" l="1"/>
  <c r="AN208" i="10" a="1"/>
  <c r="AN208" i="10" l="1"/>
  <c r="AM208" i="10" a="1"/>
  <c r="AM208" i="10" l="1"/>
  <c r="AL208" i="10" a="1"/>
  <c r="AL208" i="10" l="1"/>
  <c r="AN207" i="10" a="1"/>
  <c r="AN207" i="10" l="1"/>
  <c r="AM207" i="10" a="1"/>
  <c r="AM207" i="10" l="1"/>
  <c r="AL207" i="10" a="1"/>
  <c r="AL207" i="10" l="1"/>
  <c r="AN206" i="10" a="1"/>
  <c r="AN206" i="10" l="1"/>
  <c r="AM206" i="10" a="1"/>
  <c r="AM206" i="10" l="1"/>
  <c r="AL206" i="10" a="1"/>
  <c r="AL206" i="10" l="1"/>
  <c r="AN205" i="10" a="1"/>
  <c r="AN205" i="10" l="1"/>
  <c r="AM205" i="10" a="1"/>
  <c r="AM205" i="10" l="1"/>
  <c r="AL205" i="10" a="1"/>
  <c r="AL205" i="10" l="1"/>
  <c r="AN204" i="10" a="1"/>
  <c r="AN204" i="10" l="1"/>
  <c r="AM204" i="10" a="1"/>
  <c r="AM204" i="10" l="1"/>
  <c r="AL204" i="10" a="1"/>
  <c r="AL204" i="10" l="1"/>
  <c r="AN203" i="10" a="1"/>
  <c r="AN203" i="10" l="1"/>
  <c r="AM203" i="10" a="1"/>
  <c r="AM203" i="10" l="1"/>
  <c r="AL203" i="10" a="1"/>
  <c r="AL203" i="10" l="1"/>
  <c r="AN202" i="10" a="1"/>
  <c r="AN202" i="10" l="1"/>
  <c r="AM202" i="10" a="1"/>
  <c r="AM202" i="10" l="1"/>
  <c r="AL202" i="10" a="1"/>
  <c r="AL202" i="10" l="1"/>
  <c r="AN201" i="10" a="1"/>
  <c r="AN201" i="10" l="1"/>
  <c r="AM201" i="10" a="1"/>
  <c r="AM201" i="10" l="1"/>
  <c r="AL201" i="10" a="1"/>
  <c r="AL201" i="10" l="1"/>
  <c r="AN200" i="10" a="1"/>
  <c r="AN200" i="10" l="1"/>
  <c r="AM200" i="10" a="1"/>
  <c r="AM200" i="10" l="1"/>
  <c r="AL200" i="10" a="1"/>
  <c r="AL200" i="10" l="1"/>
  <c r="AN199" i="10" a="1"/>
  <c r="AN199" i="10" l="1"/>
  <c r="AM199" i="10" a="1"/>
  <c r="AM199" i="10" l="1"/>
  <c r="AL199" i="10" a="1"/>
  <c r="AL199" i="10" l="1"/>
  <c r="AN198" i="10" a="1"/>
  <c r="AN198" i="10" l="1"/>
  <c r="AM198" i="10" a="1"/>
  <c r="AM198" i="10" l="1"/>
  <c r="AL198" i="10" a="1"/>
  <c r="AL198" i="10" l="1"/>
  <c r="AN197" i="10" a="1"/>
  <c r="AN197" i="10" l="1"/>
  <c r="AM197" i="10" a="1"/>
  <c r="AM197" i="10" l="1"/>
  <c r="AL197" i="10" a="1"/>
  <c r="AL197" i="10" l="1"/>
  <c r="AN196" i="10" a="1"/>
  <c r="AN196" i="10" l="1"/>
  <c r="AM196" i="10" a="1"/>
  <c r="AM196" i="10" l="1"/>
  <c r="AL196" i="10" a="1"/>
  <c r="AL196" i="10" l="1"/>
  <c r="AN195" i="10" a="1"/>
  <c r="AN195" i="10" l="1"/>
  <c r="AM195" i="10" a="1"/>
  <c r="AM195" i="10" l="1"/>
  <c r="AL195" i="10" a="1"/>
  <c r="AL195" i="10" l="1"/>
  <c r="AN194" i="10" a="1"/>
  <c r="AN194" i="10" l="1"/>
  <c r="AM194" i="10" a="1"/>
  <c r="AM194" i="10" l="1"/>
  <c r="AL194" i="10" a="1"/>
  <c r="AL194" i="10" l="1"/>
  <c r="AN193" i="10" a="1"/>
  <c r="AN193" i="10" l="1"/>
  <c r="AM193" i="10" a="1"/>
  <c r="AM193" i="10" l="1"/>
  <c r="AL193" i="10" a="1"/>
  <c r="AL193" i="10" l="1"/>
  <c r="AN192" i="10" a="1"/>
  <c r="AN192" i="10" l="1"/>
  <c r="AM192" i="10" a="1"/>
  <c r="AM192" i="10" l="1"/>
  <c r="AL192" i="10" a="1"/>
  <c r="AL192" i="10" l="1"/>
  <c r="AN191" i="10" a="1"/>
  <c r="AN191" i="10" l="1"/>
  <c r="AM191" i="10" a="1"/>
  <c r="AM191" i="10" l="1"/>
  <c r="AL191" i="10" a="1"/>
  <c r="AL191" i="10" l="1"/>
  <c r="AN190" i="10" a="1"/>
  <c r="AN190" i="10" l="1"/>
  <c r="AM190" i="10" a="1"/>
  <c r="AM190" i="10" l="1"/>
  <c r="AL190" i="10" a="1"/>
  <c r="AL190" i="10" l="1"/>
  <c r="AN189" i="10" a="1"/>
  <c r="AN189" i="10" l="1"/>
  <c r="AM189" i="10" a="1"/>
  <c r="AM189" i="10" l="1"/>
  <c r="AL189" i="10" a="1"/>
  <c r="AL189" i="10" l="1"/>
  <c r="AN188" i="10" a="1"/>
  <c r="AN188" i="10" l="1"/>
  <c r="AM188" i="10" a="1"/>
  <c r="AM188" i="10" l="1"/>
  <c r="AL188" i="10" a="1"/>
  <c r="AL188" i="10" l="1"/>
  <c r="AN187" i="10" a="1"/>
  <c r="AN187" i="10" l="1"/>
  <c r="AM187" i="10" a="1"/>
  <c r="AM187" i="10" l="1"/>
  <c r="AL187" i="10" a="1"/>
  <c r="AL187" i="10" l="1"/>
  <c r="AN186" i="10" a="1"/>
  <c r="AN186" i="10" l="1"/>
  <c r="AM186" i="10" a="1"/>
  <c r="AM186" i="10" l="1"/>
  <c r="AL186" i="10" a="1"/>
  <c r="AL186" i="10" l="1"/>
  <c r="AN185" i="10" a="1"/>
  <c r="AN185" i="10" l="1"/>
  <c r="AM185" i="10" a="1"/>
  <c r="AM185" i="10" l="1"/>
  <c r="AL185" i="10" a="1"/>
  <c r="AL185" i="10" l="1"/>
  <c r="AN184" i="10" a="1"/>
  <c r="AN184" i="10" l="1"/>
  <c r="AM184" i="10" a="1"/>
  <c r="AM184" i="10" l="1"/>
  <c r="AL184" i="10" a="1"/>
  <c r="AL184" i="10" l="1"/>
  <c r="AN183" i="10" a="1"/>
  <c r="AN183" i="10" l="1"/>
  <c r="AM183" i="10" a="1"/>
  <c r="AM183" i="10" l="1"/>
  <c r="AL183" i="10" a="1"/>
  <c r="AL183" i="10" l="1"/>
  <c r="AN182" i="10" a="1"/>
  <c r="AN182" i="10" l="1"/>
  <c r="AM182" i="10" a="1"/>
  <c r="AM182" i="10" l="1"/>
  <c r="AL182" i="10" a="1"/>
  <c r="AL182" i="10" l="1"/>
  <c r="AN181" i="10" a="1"/>
  <c r="AN181" i="10" l="1"/>
  <c r="AM181" i="10" a="1"/>
  <c r="AM181" i="10" l="1"/>
  <c r="AL181" i="10" a="1"/>
  <c r="AL181" i="10" l="1"/>
  <c r="AN180" i="10" a="1"/>
  <c r="AN180" i="10" l="1"/>
  <c r="AM180" i="10" a="1"/>
  <c r="AM180" i="10" l="1"/>
  <c r="AL180" i="10" a="1"/>
  <c r="AL180" i="10" l="1"/>
  <c r="AN179" i="10" a="1"/>
  <c r="AN179" i="10" l="1"/>
  <c r="AM179" i="10" a="1"/>
  <c r="AM179" i="10" l="1"/>
  <c r="AL179" i="10" a="1"/>
  <c r="AL179" i="10" l="1"/>
  <c r="AN178" i="10" a="1"/>
  <c r="AN178" i="10" l="1"/>
  <c r="AM178" i="10" a="1"/>
  <c r="AM178" i="10" l="1"/>
  <c r="AL178" i="10" a="1"/>
  <c r="AL178" i="10" l="1"/>
  <c r="AN177" i="10" a="1"/>
  <c r="AN177" i="10" l="1"/>
  <c r="AM177" i="10" a="1"/>
  <c r="AM177" i="10" l="1"/>
  <c r="AL177" i="10" a="1"/>
  <c r="AL177" i="10" l="1"/>
  <c r="AN176" i="10" a="1"/>
  <c r="AN176" i="10" l="1"/>
  <c r="AM176" i="10" a="1"/>
  <c r="AM176" i="10" l="1"/>
  <c r="AL176" i="10" a="1"/>
  <c r="AL176" i="10" l="1"/>
  <c r="AN175" i="10" a="1"/>
  <c r="AN175" i="10" l="1"/>
  <c r="AM175" i="10" a="1"/>
  <c r="AM175" i="10" l="1"/>
  <c r="AL175" i="10" a="1"/>
  <c r="AL175" i="10" l="1"/>
  <c r="AN174" i="10" a="1"/>
  <c r="AN174" i="10" l="1"/>
  <c r="AM174" i="10" a="1"/>
  <c r="AM174" i="10" l="1"/>
  <c r="AL174" i="10" a="1"/>
  <c r="AL174" i="10" l="1"/>
  <c r="AN173" i="10" a="1"/>
  <c r="AN173" i="10" l="1"/>
  <c r="AM173" i="10" a="1"/>
  <c r="AM173" i="10" l="1"/>
  <c r="AL173" i="10" a="1"/>
  <c r="AL173" i="10" l="1"/>
  <c r="AN172" i="10" a="1"/>
  <c r="AN172" i="10" l="1"/>
  <c r="AM172" i="10" a="1"/>
  <c r="AM172" i="10" l="1"/>
  <c r="AL172" i="10" a="1"/>
  <c r="AL172" i="10" l="1"/>
  <c r="AN171" i="10" a="1"/>
  <c r="AN171" i="10" l="1"/>
  <c r="AM171" i="10" a="1"/>
  <c r="AM171" i="10" l="1"/>
  <c r="AL171" i="10" a="1"/>
  <c r="AL171" i="10" l="1"/>
  <c r="AN170" i="10" a="1"/>
  <c r="AN170" i="10" l="1"/>
  <c r="AM170" i="10" a="1"/>
  <c r="AM170" i="10" l="1"/>
  <c r="AL170" i="10" a="1"/>
  <c r="AL170" i="10" l="1"/>
  <c r="AN169" i="10" a="1"/>
  <c r="AN169" i="10" l="1"/>
  <c r="AM169" i="10" a="1"/>
  <c r="AM169" i="10" l="1"/>
  <c r="AL169" i="10" a="1"/>
  <c r="AL169" i="10" l="1"/>
  <c r="AN168" i="10" a="1"/>
  <c r="AN168" i="10" l="1"/>
  <c r="AM168" i="10" a="1"/>
  <c r="AM168" i="10" l="1"/>
  <c r="AL168" i="10" a="1"/>
  <c r="AL168" i="10" l="1"/>
  <c r="AN167" i="10" a="1"/>
  <c r="AN167" i="10" l="1"/>
  <c r="AM167" i="10" a="1"/>
  <c r="AM167" i="10" l="1"/>
  <c r="AL167" i="10" a="1"/>
  <c r="AL167" i="10" l="1"/>
  <c r="AN166" i="10" a="1"/>
  <c r="AN166" i="10" l="1"/>
  <c r="AM166" i="10" a="1"/>
  <c r="AM166" i="10" l="1"/>
  <c r="AL166" i="10" a="1"/>
  <c r="AL166" i="10" l="1"/>
  <c r="AN165" i="10" a="1"/>
  <c r="AN165" i="10" l="1"/>
  <c r="AM165" i="10" a="1"/>
  <c r="AM165" i="10" l="1"/>
  <c r="AL165" i="10" a="1"/>
  <c r="AL165" i="10" l="1"/>
  <c r="AN164" i="10" a="1"/>
  <c r="AN164" i="10" l="1"/>
  <c r="AM164" i="10" a="1"/>
  <c r="AM164" i="10" l="1"/>
  <c r="AL164" i="10" a="1"/>
  <c r="AL164" i="10" l="1"/>
  <c r="AN163" i="10" a="1"/>
  <c r="AN163" i="10" l="1"/>
  <c r="AM163" i="10" a="1"/>
  <c r="AM163" i="10" l="1"/>
  <c r="AL163" i="10" a="1"/>
  <c r="AL163" i="10" l="1"/>
  <c r="AN162" i="10" a="1"/>
  <c r="AN162" i="10" l="1"/>
  <c r="AM162" i="10" a="1"/>
  <c r="AM162" i="10" l="1"/>
  <c r="AL162" i="10" a="1"/>
  <c r="AL162" i="10" l="1"/>
  <c r="AN161" i="10" a="1"/>
  <c r="AN161" i="10" l="1"/>
  <c r="AM161" i="10" a="1"/>
  <c r="AM161" i="10" l="1"/>
  <c r="AL161" i="10" a="1"/>
  <c r="AL161" i="10" l="1"/>
  <c r="AN160" i="10" a="1"/>
  <c r="AN160" i="10" l="1"/>
  <c r="AM160" i="10" a="1"/>
  <c r="AM160" i="10" l="1"/>
  <c r="AL160" i="10" a="1"/>
  <c r="AL160" i="10" l="1"/>
  <c r="AN159" i="10" a="1"/>
  <c r="AN159" i="10" l="1"/>
  <c r="AM159" i="10" a="1"/>
  <c r="AM159" i="10" l="1"/>
  <c r="AL159" i="10" a="1"/>
  <c r="AL159" i="10" l="1"/>
  <c r="AN158" i="10" a="1"/>
  <c r="AN158" i="10" l="1"/>
  <c r="AM158" i="10" a="1"/>
  <c r="AM158" i="10" l="1"/>
  <c r="AL158" i="10" a="1"/>
  <c r="AL158" i="10" l="1"/>
  <c r="AN157" i="10" a="1"/>
  <c r="AN157" i="10" l="1"/>
  <c r="AM157" i="10" a="1"/>
  <c r="AM157" i="10" l="1"/>
  <c r="AL157" i="10" a="1"/>
  <c r="AL157" i="10" l="1"/>
  <c r="AN156" i="10" a="1"/>
  <c r="AN156" i="10" l="1"/>
  <c r="AM156" i="10" a="1"/>
  <c r="AM156" i="10" l="1"/>
  <c r="AL156" i="10" a="1"/>
  <c r="AL156" i="10" l="1"/>
  <c r="AN155" i="10" a="1"/>
  <c r="AN155" i="10" l="1"/>
  <c r="AM155" i="10" a="1"/>
  <c r="AM155" i="10" l="1"/>
  <c r="AL155" i="10" a="1"/>
  <c r="AL155" i="10" l="1"/>
  <c r="AN154" i="10" a="1"/>
  <c r="AN154" i="10" l="1"/>
  <c r="AM154" i="10" a="1"/>
  <c r="AM154" i="10" l="1"/>
  <c r="AL154" i="10" a="1"/>
  <c r="AL154" i="10" l="1"/>
  <c r="AN153" i="10" a="1"/>
  <c r="AN153" i="10" l="1"/>
  <c r="AM153" i="10" a="1"/>
  <c r="AM153" i="10" l="1"/>
  <c r="AL153" i="10" a="1"/>
  <c r="AL153" i="10" l="1"/>
  <c r="AN152" i="10" a="1"/>
  <c r="AN152" i="10" l="1"/>
  <c r="AM152" i="10" a="1"/>
  <c r="AM152" i="10" l="1"/>
  <c r="AL152" i="10" a="1"/>
  <c r="AL152" i="10" l="1"/>
  <c r="AN151" i="10" a="1"/>
  <c r="AN151" i="10" l="1"/>
  <c r="AM151" i="10" a="1"/>
  <c r="AM151" i="10" l="1"/>
  <c r="AL151" i="10" a="1"/>
  <c r="AL151" i="10" l="1"/>
  <c r="AN150" i="10" a="1"/>
  <c r="AN150" i="10" l="1"/>
  <c r="AM150" i="10" a="1"/>
  <c r="AM150" i="10" l="1"/>
  <c r="AL150" i="10" a="1"/>
  <c r="AL150" i="10" l="1"/>
  <c r="AN149" i="10" a="1"/>
  <c r="AN149" i="10" l="1"/>
  <c r="AM149" i="10" a="1"/>
  <c r="AM149" i="10" l="1"/>
  <c r="AL149" i="10" a="1"/>
  <c r="AL149" i="10" l="1"/>
  <c r="AN148" i="10" a="1"/>
  <c r="AN148" i="10" l="1"/>
  <c r="AM148" i="10" a="1"/>
  <c r="AM148" i="10" l="1"/>
  <c r="AL148" i="10" a="1"/>
  <c r="AL148" i="10" l="1"/>
  <c r="AN147" i="10" a="1"/>
  <c r="AN147" i="10" l="1"/>
  <c r="AM147" i="10" a="1"/>
  <c r="AM147" i="10" l="1"/>
  <c r="AL147" i="10" a="1"/>
  <c r="AL147" i="10" l="1"/>
  <c r="AN146" i="10" a="1"/>
  <c r="AN146" i="10" l="1"/>
  <c r="AM146" i="10" a="1"/>
  <c r="AM146" i="10" l="1"/>
  <c r="AL146" i="10" a="1"/>
  <c r="AL146" i="10" l="1"/>
  <c r="AN145" i="10" a="1"/>
  <c r="AN145" i="10" l="1"/>
  <c r="AM145" i="10" a="1"/>
  <c r="AM145" i="10" l="1"/>
  <c r="AL145" i="10" a="1"/>
  <c r="AL145" i="10" l="1"/>
  <c r="AN144" i="10" a="1"/>
  <c r="AN144" i="10" l="1"/>
  <c r="AM144" i="10" a="1"/>
  <c r="AM144" i="10" l="1"/>
  <c r="AL144" i="10" a="1"/>
  <c r="AL144" i="10" l="1"/>
  <c r="AN143" i="10" a="1"/>
  <c r="AN143" i="10" l="1"/>
  <c r="AM143" i="10" a="1"/>
  <c r="AM143" i="10" l="1"/>
  <c r="AL143" i="10" a="1"/>
  <c r="AL143" i="10" l="1"/>
  <c r="AN142" i="10" a="1"/>
  <c r="AN142" i="10" l="1"/>
  <c r="AM142" i="10" a="1"/>
  <c r="AM142" i="10" l="1"/>
  <c r="AL142" i="10" a="1"/>
  <c r="AL142" i="10" l="1"/>
  <c r="AN141" i="10" a="1"/>
  <c r="AN141" i="10" l="1"/>
  <c r="AM141" i="10" a="1"/>
  <c r="AM141" i="10" l="1"/>
  <c r="AL141" i="10" a="1"/>
  <c r="AL141" i="10" l="1"/>
  <c r="AN140" i="10" a="1"/>
  <c r="AN140" i="10" l="1"/>
  <c r="AM140" i="10" a="1"/>
  <c r="AM140" i="10" l="1"/>
  <c r="AL140" i="10" a="1"/>
  <c r="AL140" i="10" l="1"/>
  <c r="AN139" i="10" a="1"/>
  <c r="AN139" i="10" l="1"/>
  <c r="AM139" i="10" a="1"/>
  <c r="AM139" i="10" l="1"/>
  <c r="AL139" i="10" a="1"/>
  <c r="AL139" i="10" l="1"/>
  <c r="AN138" i="10" a="1"/>
  <c r="AN138" i="10" l="1"/>
  <c r="AM138" i="10" a="1"/>
  <c r="AM138" i="10" l="1"/>
  <c r="AL138" i="10" a="1"/>
  <c r="AL138" i="10" l="1"/>
  <c r="AN137" i="10" a="1"/>
  <c r="AN137" i="10" l="1"/>
  <c r="AM137" i="10" a="1"/>
  <c r="AM137" i="10" l="1"/>
  <c r="AL137" i="10" a="1"/>
  <c r="AL137" i="10" l="1"/>
  <c r="AN136" i="10" a="1"/>
  <c r="AN136" i="10" l="1"/>
  <c r="AM136" i="10" a="1"/>
  <c r="AM136" i="10" l="1"/>
  <c r="AL136" i="10" a="1"/>
  <c r="AL136" i="10" l="1"/>
  <c r="AN135" i="10" a="1"/>
  <c r="AN135" i="10" l="1"/>
  <c r="AM135" i="10" a="1"/>
  <c r="AM135" i="10" l="1"/>
  <c r="AL135" i="10" a="1"/>
  <c r="AL135" i="10" l="1"/>
  <c r="AN134" i="10" a="1"/>
  <c r="AN134" i="10" l="1"/>
  <c r="AM134" i="10" a="1"/>
  <c r="AM134" i="10" l="1"/>
  <c r="AL134" i="10" a="1"/>
  <c r="AL134" i="10" l="1"/>
  <c r="AN133" i="10" a="1"/>
  <c r="AN133" i="10" l="1"/>
  <c r="AM133" i="10" a="1"/>
  <c r="AM133" i="10" l="1"/>
  <c r="AL133" i="10" a="1"/>
  <c r="AL133" i="10" l="1"/>
  <c r="AN132" i="10" a="1"/>
  <c r="AN132" i="10" l="1"/>
  <c r="AM132" i="10" a="1"/>
  <c r="AM132" i="10" l="1"/>
  <c r="AL132" i="10" a="1"/>
  <c r="AL132" i="10" l="1"/>
  <c r="AN131" i="10" a="1"/>
  <c r="AN131" i="10" l="1"/>
  <c r="AM131" i="10" a="1"/>
  <c r="AM131" i="10" l="1"/>
  <c r="AL131" i="10" a="1"/>
  <c r="AL131" i="10" l="1"/>
  <c r="AN130" i="10" a="1"/>
  <c r="AN130" i="10" l="1"/>
  <c r="AM130" i="10" a="1"/>
  <c r="AM130" i="10" l="1"/>
  <c r="AL130" i="10" a="1"/>
  <c r="AL130" i="10" l="1"/>
  <c r="AN129" i="10" a="1"/>
  <c r="AN129" i="10" l="1"/>
  <c r="AM129" i="10" a="1"/>
  <c r="AM129" i="10" l="1"/>
  <c r="AL129" i="10" a="1"/>
  <c r="AL129" i="10" l="1"/>
  <c r="AN128" i="10" a="1"/>
  <c r="AN128" i="10" l="1"/>
  <c r="AM128" i="10" a="1"/>
  <c r="AM128" i="10" l="1"/>
  <c r="AL128" i="10" a="1"/>
  <c r="AL128" i="10" l="1"/>
  <c r="AN127" i="10" a="1"/>
  <c r="AN127" i="10" l="1"/>
  <c r="AM127" i="10" a="1"/>
  <c r="AM127" i="10" l="1"/>
  <c r="AL127" i="10" a="1"/>
  <c r="AL127" i="10" l="1"/>
  <c r="AN126" i="10" a="1"/>
  <c r="AN126" i="10" l="1"/>
  <c r="AM126" i="10" a="1"/>
  <c r="AM126" i="10" l="1"/>
  <c r="AL126" i="10" a="1"/>
  <c r="AL126" i="10" l="1"/>
  <c r="AN125" i="10" a="1"/>
  <c r="AN125" i="10" l="1"/>
  <c r="AM125" i="10" a="1"/>
  <c r="AM125" i="10" l="1"/>
  <c r="AL125" i="10" a="1"/>
  <c r="AL125" i="10" l="1"/>
  <c r="AN124" i="10" a="1"/>
  <c r="AN124" i="10" l="1"/>
  <c r="AM124" i="10" a="1"/>
  <c r="AM124" i="10" l="1"/>
  <c r="AL124" i="10" a="1"/>
  <c r="AL124" i="10" l="1"/>
  <c r="AN123" i="10" a="1"/>
  <c r="AN123" i="10" l="1"/>
  <c r="AM123" i="10" a="1"/>
  <c r="AM123" i="10" l="1"/>
  <c r="AL123" i="10" a="1"/>
  <c r="AL123" i="10" l="1"/>
  <c r="AN122" i="10" a="1"/>
  <c r="AN122" i="10" l="1"/>
  <c r="AM122" i="10" a="1"/>
  <c r="AM122" i="10" l="1"/>
  <c r="AL122" i="10" a="1"/>
  <c r="AL122" i="10" l="1"/>
  <c r="AN121" i="10" a="1"/>
  <c r="AN121" i="10" l="1"/>
  <c r="AM121" i="10" a="1"/>
  <c r="AM121" i="10" l="1"/>
  <c r="AL121" i="10" a="1"/>
  <c r="AL121" i="10" l="1"/>
  <c r="AN120" i="10" a="1"/>
  <c r="AN120" i="10" l="1"/>
  <c r="AM120" i="10" a="1"/>
  <c r="AM120" i="10" l="1"/>
  <c r="AL120" i="10" a="1"/>
  <c r="AL120" i="10" l="1"/>
  <c r="AN119" i="10" a="1"/>
  <c r="AN119" i="10" l="1"/>
  <c r="AM119" i="10" a="1"/>
  <c r="AM119" i="10" l="1"/>
  <c r="AL119" i="10" a="1"/>
  <c r="AL119" i="10" l="1"/>
  <c r="AN118" i="10" a="1"/>
  <c r="AN118" i="10" l="1"/>
  <c r="AM118" i="10" a="1"/>
  <c r="AM118" i="10" l="1"/>
  <c r="AL118" i="10" a="1"/>
  <c r="AL118" i="10" l="1"/>
  <c r="AN117" i="10" a="1"/>
  <c r="AN117" i="10" l="1"/>
  <c r="AM117" i="10" a="1"/>
  <c r="AM117" i="10" l="1"/>
  <c r="AL117" i="10" a="1"/>
  <c r="AL117" i="10" l="1"/>
  <c r="AN116" i="10" a="1"/>
  <c r="AN116" i="10" l="1"/>
  <c r="AM116" i="10" a="1"/>
  <c r="AM116" i="10" l="1"/>
  <c r="AL116" i="10" a="1"/>
  <c r="AL116" i="10" l="1"/>
  <c r="AN115" i="10" a="1"/>
  <c r="AN115" i="10" l="1"/>
  <c r="AM115" i="10" a="1"/>
  <c r="AM115" i="10" l="1"/>
  <c r="AL115" i="10" a="1"/>
  <c r="AL115" i="10" l="1"/>
  <c r="AN114" i="10" a="1"/>
  <c r="AN114" i="10" l="1"/>
  <c r="AM114" i="10" a="1"/>
  <c r="AM114" i="10" l="1"/>
  <c r="AL114" i="10" a="1"/>
  <c r="AL114" i="10" l="1"/>
  <c r="AN113" i="10" a="1"/>
  <c r="AN113" i="10" l="1"/>
  <c r="AM113" i="10" a="1"/>
  <c r="AM113" i="10" l="1"/>
  <c r="AL113" i="10" a="1"/>
  <c r="AL113" i="10" l="1"/>
  <c r="AN112" i="10" a="1"/>
  <c r="AN112" i="10" l="1"/>
  <c r="AM112" i="10" a="1"/>
  <c r="AM112" i="10" l="1"/>
  <c r="AL112" i="10" a="1"/>
  <c r="AL112" i="10" l="1"/>
  <c r="AN111" i="10" a="1"/>
  <c r="AN111" i="10" l="1"/>
  <c r="AM111" i="10" a="1"/>
  <c r="AM111" i="10" l="1"/>
  <c r="AL111" i="10" a="1"/>
  <c r="AL111" i="10" l="1"/>
  <c r="AN110" i="10" a="1"/>
  <c r="AN110" i="10" l="1"/>
  <c r="AM110" i="10" a="1"/>
  <c r="AM110" i="10" l="1"/>
  <c r="AL110" i="10" a="1"/>
  <c r="AL110" i="10" l="1"/>
  <c r="AN109" i="10" a="1"/>
  <c r="AN109" i="10" l="1"/>
  <c r="AM109" i="10" a="1"/>
  <c r="AM109" i="10" l="1"/>
  <c r="AL109" i="10" a="1"/>
  <c r="AL109" i="10" l="1"/>
  <c r="AN108" i="10" a="1"/>
  <c r="AN108" i="10" l="1"/>
  <c r="AM108" i="10" a="1"/>
  <c r="AM108" i="10" l="1"/>
  <c r="AL108" i="10" a="1"/>
  <c r="AL108" i="10" l="1"/>
  <c r="AN107" i="10" a="1"/>
  <c r="AN107" i="10" l="1"/>
  <c r="AM107" i="10" a="1"/>
  <c r="AM107" i="10" l="1"/>
  <c r="AL107" i="10" a="1"/>
  <c r="AL107" i="10" l="1"/>
  <c r="AN106" i="10" a="1"/>
  <c r="AN106" i="10" l="1"/>
  <c r="AM106" i="10" a="1"/>
  <c r="AM106" i="10" l="1"/>
  <c r="AL106" i="10" a="1"/>
  <c r="AL106" i="10" l="1"/>
  <c r="AN105" i="10" a="1"/>
  <c r="AN105" i="10" l="1"/>
  <c r="AM105" i="10" a="1"/>
  <c r="AM105" i="10" l="1"/>
  <c r="AL105" i="10" a="1"/>
  <c r="AL105" i="10" l="1"/>
  <c r="AN104" i="10" a="1"/>
  <c r="AN104" i="10" l="1"/>
  <c r="AM104" i="10" a="1"/>
  <c r="AM104" i="10" l="1"/>
  <c r="AL104" i="10" a="1"/>
  <c r="AL104" i="10" l="1"/>
  <c r="AN103" i="10" a="1"/>
  <c r="AN103" i="10" l="1"/>
  <c r="AM103" i="10" a="1"/>
  <c r="AM103" i="10" l="1"/>
  <c r="AL103" i="10" a="1"/>
  <c r="AL103" i="10" l="1"/>
  <c r="AN102" i="10" a="1"/>
  <c r="AN102" i="10" l="1"/>
  <c r="AM102" i="10" a="1"/>
  <c r="AM102" i="10" l="1"/>
  <c r="AL102" i="10" a="1"/>
  <c r="AL102" i="10" l="1"/>
  <c r="AH102" i="10" a="1"/>
  <c r="AH102" i="10" l="1"/>
  <c r="AG102" i="10" a="1"/>
  <c r="AG102" i="10" l="1"/>
  <c r="AF102" i="10" a="1"/>
  <c r="AF102" i="10" l="1"/>
  <c r="AN101" i="10" a="1"/>
  <c r="AN101" i="10" l="1"/>
  <c r="AM101" i="10" a="1"/>
  <c r="AM101" i="10" l="1"/>
  <c r="AL101" i="10" a="1"/>
  <c r="AL101" i="10" l="1"/>
  <c r="AH101" i="10" a="1"/>
  <c r="AH101" i="10" l="1"/>
  <c r="AG101" i="10" a="1"/>
  <c r="AG101" i="10" l="1"/>
  <c r="AF101" i="10" a="1"/>
  <c r="AF101" i="10" l="1"/>
  <c r="AN100" i="10" a="1"/>
  <c r="AN100" i="10" l="1"/>
  <c r="AM100" i="10" a="1"/>
  <c r="AM100" i="10" l="1"/>
  <c r="AL100" i="10" a="1"/>
  <c r="AL100" i="10" l="1"/>
  <c r="AH100" i="10" a="1"/>
  <c r="AH100" i="10" l="1"/>
  <c r="AG100" i="10" a="1"/>
  <c r="AG100" i="10" l="1"/>
  <c r="AF100" i="10" a="1"/>
  <c r="AF100" i="10" l="1"/>
  <c r="AN99" i="10" a="1"/>
  <c r="AN99" i="10" l="1"/>
  <c r="AM99" i="10" a="1"/>
  <c r="AM99" i="10" l="1"/>
  <c r="AL99" i="10" a="1"/>
  <c r="AL99" i="10" l="1"/>
  <c r="AH99" i="10" a="1"/>
  <c r="AH99" i="10" l="1"/>
  <c r="AG99" i="10" a="1"/>
  <c r="AG99" i="10" l="1"/>
  <c r="AF99" i="10" a="1"/>
  <c r="AF99" i="10" l="1"/>
  <c r="AN98" i="10" a="1"/>
  <c r="AN98" i="10" l="1"/>
  <c r="AM98" i="10" a="1"/>
  <c r="AM98" i="10" l="1"/>
  <c r="AL98" i="10" a="1"/>
  <c r="AL98" i="10" l="1"/>
  <c r="AH98" i="10" a="1"/>
  <c r="AH98" i="10" l="1"/>
  <c r="AG98" i="10" a="1"/>
  <c r="AG98" i="10" l="1"/>
  <c r="AF98" i="10" a="1"/>
  <c r="AF98" i="10" l="1"/>
  <c r="AN97" i="10" a="1"/>
  <c r="AN97" i="10" l="1"/>
  <c r="AM97" i="10" a="1"/>
  <c r="AM97" i="10" l="1"/>
  <c r="AL97" i="10" a="1"/>
  <c r="AL97" i="10" l="1"/>
  <c r="AH97" i="10" a="1"/>
  <c r="AH97" i="10" l="1"/>
  <c r="AG97" i="10" a="1"/>
  <c r="AG97" i="10" l="1"/>
  <c r="AF97" i="10" a="1"/>
  <c r="AF97" i="10" l="1"/>
  <c r="AN96" i="10" a="1"/>
  <c r="AN96" i="10" l="1"/>
  <c r="AM96" i="10" a="1"/>
  <c r="AM96" i="10" l="1"/>
  <c r="AL96" i="10" a="1"/>
  <c r="AL96" i="10" l="1"/>
  <c r="AH96" i="10" a="1"/>
  <c r="AH96" i="10" l="1"/>
  <c r="AG96" i="10" a="1"/>
  <c r="AG96" i="10" l="1"/>
  <c r="AF96" i="10" a="1"/>
  <c r="AF96" i="10" l="1"/>
  <c r="AN95" i="10" a="1"/>
  <c r="AN95" i="10" l="1"/>
  <c r="AM95" i="10" a="1"/>
  <c r="AM95" i="10" l="1"/>
  <c r="AL95" i="10" a="1"/>
  <c r="AL95" i="10" l="1"/>
  <c r="AH95" i="10" a="1"/>
  <c r="AH95" i="10" l="1"/>
  <c r="AG95" i="10" a="1"/>
  <c r="AG95" i="10" l="1"/>
  <c r="AF95" i="10" a="1"/>
  <c r="G95" i="10"/>
  <c r="F95" i="10"/>
  <c r="E95" i="10"/>
  <c r="D95" i="10"/>
  <c r="AF95" i="10" l="1"/>
  <c r="AN94" i="10" a="1"/>
  <c r="AN94" i="10" l="1"/>
  <c r="AM94" i="10" a="1"/>
  <c r="AM94" i="10" l="1"/>
  <c r="AL94" i="10" a="1"/>
  <c r="AL94" i="10" l="1"/>
  <c r="AH94" i="10" a="1"/>
  <c r="AH94" i="10" l="1"/>
  <c r="AG94" i="10" a="1"/>
  <c r="AG94" i="10" l="1"/>
  <c r="AF94" i="10" a="1"/>
  <c r="G94" i="10"/>
  <c r="F94" i="10"/>
  <c r="E94" i="10"/>
  <c r="D94" i="10"/>
  <c r="AF94" i="10" l="1"/>
  <c r="AN93" i="10" a="1"/>
  <c r="AN93" i="10" l="1"/>
  <c r="AM93" i="10" a="1"/>
  <c r="AM93" i="10" l="1"/>
  <c r="AL93" i="10" a="1"/>
  <c r="AL93" i="10" l="1"/>
  <c r="AH93" i="10" a="1"/>
  <c r="AH93" i="10" l="1"/>
  <c r="AG93" i="10" a="1"/>
  <c r="AG93" i="10" l="1"/>
  <c r="AF93" i="10" a="1"/>
  <c r="R93" i="10"/>
  <c r="Q93" i="10"/>
  <c r="P93" i="10"/>
  <c r="O93" i="10"/>
  <c r="N93" i="10"/>
  <c r="G93" i="10"/>
  <c r="F93" i="10"/>
  <c r="E93" i="10"/>
  <c r="D93" i="10"/>
  <c r="AF93" i="10" l="1"/>
  <c r="AN92" i="10" a="1"/>
  <c r="AN92" i="10" l="1"/>
  <c r="AM92" i="10" a="1"/>
  <c r="AM92" i="10" l="1"/>
  <c r="AL92" i="10" a="1"/>
  <c r="AL92" i="10" l="1"/>
  <c r="AH92" i="10" a="1"/>
  <c r="AH92" i="10" l="1"/>
  <c r="AG92" i="10" a="1"/>
  <c r="AG92" i="10" l="1"/>
  <c r="AF92" i="10" a="1"/>
  <c r="R92" i="10"/>
  <c r="Q92" i="10"/>
  <c r="P92" i="10"/>
  <c r="O92" i="10"/>
  <c r="N92" i="10"/>
  <c r="G92" i="10"/>
  <c r="F92" i="10"/>
  <c r="E92" i="10"/>
  <c r="D92" i="10"/>
  <c r="AF92" i="10" l="1"/>
  <c r="AN91" i="10" a="1"/>
  <c r="AN91" i="10" l="1"/>
  <c r="AM91" i="10" a="1"/>
  <c r="AM91" i="10" l="1"/>
  <c r="AL91" i="10" a="1"/>
  <c r="AL91" i="10" l="1"/>
  <c r="AH91" i="10" a="1"/>
  <c r="AH91" i="10" l="1"/>
  <c r="AG91" i="10" a="1"/>
  <c r="AG91" i="10" l="1"/>
  <c r="AF91" i="10" a="1"/>
  <c r="R91" i="10"/>
  <c r="Q91" i="10"/>
  <c r="P91" i="10"/>
  <c r="O91" i="10"/>
  <c r="N91" i="10"/>
  <c r="G91" i="10"/>
  <c r="F91" i="10"/>
  <c r="E91" i="10"/>
  <c r="D91" i="10"/>
  <c r="AF91" i="10" l="1"/>
  <c r="AN90" i="10" a="1"/>
  <c r="AN90" i="10" l="1"/>
  <c r="AM90" i="10" a="1"/>
  <c r="AM90" i="10" l="1"/>
  <c r="AL90" i="10" a="1"/>
  <c r="AL90" i="10" l="1"/>
  <c r="AH90" i="10" a="1"/>
  <c r="AH90" i="10" l="1"/>
  <c r="AG90" i="10" a="1"/>
  <c r="AG90" i="10" l="1"/>
  <c r="AF90" i="10" a="1"/>
  <c r="R90" i="10"/>
  <c r="Q90" i="10"/>
  <c r="P90" i="10"/>
  <c r="O90" i="10"/>
  <c r="N90" i="10"/>
  <c r="G90" i="10"/>
  <c r="F90" i="10"/>
  <c r="E90" i="10"/>
  <c r="D90" i="10"/>
  <c r="AF90" i="10" l="1"/>
  <c r="AN89" i="10" a="1"/>
  <c r="AN89" i="10" l="1"/>
  <c r="AM89" i="10" a="1"/>
  <c r="AM89" i="10" l="1"/>
  <c r="AL89" i="10" a="1"/>
  <c r="AL89" i="10" l="1"/>
  <c r="AH89" i="10" a="1"/>
  <c r="AH89" i="10" l="1"/>
  <c r="AG89" i="10" a="1"/>
  <c r="AG89" i="10" l="1"/>
  <c r="AF89" i="10" a="1"/>
  <c r="R89" i="10"/>
  <c r="Q89" i="10"/>
  <c r="P89" i="10"/>
  <c r="O89" i="10"/>
  <c r="N89" i="10"/>
  <c r="G89" i="10"/>
  <c r="F89" i="10"/>
  <c r="E89" i="10"/>
  <c r="D89" i="10"/>
  <c r="AF89" i="10" l="1"/>
  <c r="AN88" i="10" a="1"/>
  <c r="AN88" i="10" l="1"/>
  <c r="AM88" i="10" a="1"/>
  <c r="AM88" i="10" l="1"/>
  <c r="AL88" i="10" a="1"/>
  <c r="AL88" i="10" l="1"/>
  <c r="AH88" i="10" a="1"/>
  <c r="AH88" i="10" l="1"/>
  <c r="AG88" i="10" a="1"/>
  <c r="AG88" i="10" l="1"/>
  <c r="AF88" i="10" a="1"/>
  <c r="R88" i="10"/>
  <c r="Q88" i="10"/>
  <c r="P88" i="10"/>
  <c r="O88" i="10"/>
  <c r="N88" i="10"/>
  <c r="G88" i="10"/>
  <c r="F88" i="10"/>
  <c r="E88" i="10"/>
  <c r="D88" i="10"/>
  <c r="AF88" i="10" l="1"/>
  <c r="AN87" i="10" a="1"/>
  <c r="AN87" i="10" l="1"/>
  <c r="AM87" i="10" a="1"/>
  <c r="AM87" i="10" l="1"/>
  <c r="AL87" i="10" a="1"/>
  <c r="AL87" i="10" l="1"/>
  <c r="AH87" i="10" a="1"/>
  <c r="AH87" i="10" l="1"/>
  <c r="AG87" i="10" a="1"/>
  <c r="AG87" i="10" l="1"/>
  <c r="AF87" i="10" a="1"/>
  <c r="AF87" i="10" l="1"/>
  <c r="AN86" i="10" a="1"/>
  <c r="AN86" i="10" l="1"/>
  <c r="AM86" i="10" a="1"/>
  <c r="AM86" i="10" l="1"/>
  <c r="AL86" i="10" a="1"/>
  <c r="AL86" i="10" l="1"/>
  <c r="AH86" i="10" a="1"/>
  <c r="AH86" i="10" l="1"/>
  <c r="AG86" i="10" a="1"/>
  <c r="AG86" i="10" l="1"/>
  <c r="AF86" i="10" a="1"/>
  <c r="AF86" i="10" l="1"/>
  <c r="AN85" i="10" a="1"/>
  <c r="AN85" i="10" l="1"/>
  <c r="AM85" i="10" a="1"/>
  <c r="AM85" i="10" l="1"/>
  <c r="AL85" i="10" a="1"/>
  <c r="AL85" i="10" l="1"/>
  <c r="AH85" i="10" a="1"/>
  <c r="AH85" i="10" l="1"/>
  <c r="AG85" i="10" a="1"/>
  <c r="AG85" i="10" l="1"/>
  <c r="AF85" i="10" a="1"/>
  <c r="R85" i="10"/>
  <c r="Q85" i="10"/>
  <c r="P85" i="10"/>
  <c r="O85" i="10"/>
  <c r="N85" i="10"/>
  <c r="AF85" i="10" l="1"/>
  <c r="AN84" i="10" a="1"/>
  <c r="AN84" i="10" l="1"/>
  <c r="AM84" i="10" a="1"/>
  <c r="AM84" i="10" l="1"/>
  <c r="AL84" i="10" a="1"/>
  <c r="AL84" i="10" l="1"/>
  <c r="AH84" i="10" a="1"/>
  <c r="AH84" i="10" l="1"/>
  <c r="AG84" i="10" a="1"/>
  <c r="AG84" i="10" l="1"/>
  <c r="AF84" i="10" a="1"/>
  <c r="R84" i="10"/>
  <c r="Q84" i="10"/>
  <c r="P84" i="10"/>
  <c r="O84" i="10"/>
  <c r="N84" i="10"/>
  <c r="G84" i="10"/>
  <c r="F84" i="10"/>
  <c r="E84" i="10"/>
  <c r="D84" i="10"/>
  <c r="AF84" i="10" l="1"/>
  <c r="AN83" i="10" a="1"/>
  <c r="AN83" i="10" l="1"/>
  <c r="AM83" i="10" a="1"/>
  <c r="AM83" i="10" l="1"/>
  <c r="AL83" i="10" a="1"/>
  <c r="AL83" i="10" l="1"/>
  <c r="AH83" i="10" a="1"/>
  <c r="AH83" i="10" l="1"/>
  <c r="AG83" i="10" a="1"/>
  <c r="AG83" i="10" l="1"/>
  <c r="AF83" i="10" a="1"/>
  <c r="R83" i="10"/>
  <c r="Q83" i="10"/>
  <c r="P83" i="10"/>
  <c r="O83" i="10"/>
  <c r="N83" i="10"/>
  <c r="G83" i="10"/>
  <c r="F83" i="10"/>
  <c r="E83" i="10"/>
  <c r="D83" i="10"/>
  <c r="C83" i="10"/>
  <c r="AF83" i="10" l="1"/>
  <c r="AN82" i="10" a="1"/>
  <c r="AN82" i="10" l="1"/>
  <c r="AM82" i="10" a="1"/>
  <c r="AM82" i="10" l="1"/>
  <c r="AL82" i="10" a="1"/>
  <c r="AL82" i="10" l="1"/>
  <c r="AH82" i="10" a="1"/>
  <c r="AH82" i="10" l="1"/>
  <c r="AG82" i="10" a="1"/>
  <c r="AG82" i="10" l="1"/>
  <c r="AF82" i="10" a="1"/>
  <c r="R82" i="10"/>
  <c r="Q82" i="10"/>
  <c r="P82" i="10"/>
  <c r="O82" i="10"/>
  <c r="N82" i="10"/>
  <c r="AF82" i="10" l="1"/>
  <c r="AN81" i="10" a="1"/>
  <c r="AN81" i="10" l="1"/>
  <c r="AM81" i="10" a="1"/>
  <c r="AM81" i="10" l="1"/>
  <c r="AL81" i="10" a="1"/>
  <c r="AL81" i="10" l="1"/>
  <c r="AH81" i="10" a="1"/>
  <c r="AH81" i="10" l="1"/>
  <c r="AG81" i="10" a="1"/>
  <c r="AG81" i="10" l="1"/>
  <c r="AF81" i="10" a="1"/>
  <c r="R81" i="10"/>
  <c r="Q81" i="10"/>
  <c r="P81" i="10"/>
  <c r="O81" i="10"/>
  <c r="N81" i="10"/>
  <c r="AF81" i="10" l="1"/>
  <c r="AN80" i="10" a="1"/>
  <c r="AN80" i="10" l="1"/>
  <c r="AM80" i="10" a="1"/>
  <c r="AM80" i="10" l="1"/>
  <c r="AL80" i="10" a="1"/>
  <c r="AL80" i="10" l="1"/>
  <c r="AH80" i="10" a="1"/>
  <c r="AH80" i="10" l="1"/>
  <c r="AG80" i="10" a="1"/>
  <c r="AG80" i="10" l="1"/>
  <c r="AF80" i="10" a="1"/>
  <c r="R80" i="10"/>
  <c r="Q80" i="10"/>
  <c r="P80" i="10"/>
  <c r="O80" i="10"/>
  <c r="N80" i="10"/>
  <c r="AF80" i="10" l="1"/>
  <c r="AN79" i="10" a="1"/>
  <c r="AN79" i="10" l="1"/>
  <c r="AM79" i="10" a="1"/>
  <c r="AM79" i="10" l="1"/>
  <c r="AL79" i="10" a="1"/>
  <c r="AL79" i="10" l="1"/>
  <c r="AH79" i="10" a="1"/>
  <c r="AH79" i="10" l="1"/>
  <c r="AG79" i="10" a="1"/>
  <c r="AG79" i="10" l="1"/>
  <c r="AF79" i="10" a="1"/>
  <c r="R79" i="10"/>
  <c r="Q79" i="10"/>
  <c r="P79" i="10"/>
  <c r="O79" i="10"/>
  <c r="N79" i="10"/>
  <c r="G79" i="10"/>
  <c r="F79" i="10"/>
  <c r="E79" i="10"/>
  <c r="D79" i="10"/>
  <c r="C79" i="10"/>
  <c r="AF79" i="10" l="1"/>
  <c r="AN78" i="10" a="1"/>
  <c r="AN78" i="10" l="1"/>
  <c r="AM78" i="10" a="1"/>
  <c r="AM78" i="10" l="1"/>
  <c r="AL78" i="10" a="1"/>
  <c r="AL78" i="10" l="1"/>
  <c r="AH78" i="10" a="1"/>
  <c r="AH78" i="10" l="1"/>
  <c r="AG78" i="10" a="1"/>
  <c r="AG78" i="10" l="1"/>
  <c r="AF78" i="10" a="1"/>
  <c r="R78" i="10"/>
  <c r="Q78" i="10"/>
  <c r="P78" i="10"/>
  <c r="O78" i="10"/>
  <c r="N78" i="10"/>
  <c r="G78" i="10"/>
  <c r="F78" i="10"/>
  <c r="E78" i="10"/>
  <c r="D78" i="10"/>
  <c r="C78" i="10"/>
  <c r="AF78" i="10" l="1"/>
  <c r="AN77" i="10" a="1"/>
  <c r="AN77" i="10" l="1"/>
  <c r="AM77" i="10" a="1"/>
  <c r="AM77" i="10" l="1"/>
  <c r="AL77" i="10" a="1"/>
  <c r="AL77" i="10" l="1"/>
  <c r="AH77" i="10" a="1"/>
  <c r="AH77" i="10" l="1"/>
  <c r="AG77" i="10" a="1"/>
  <c r="AG77" i="10" l="1"/>
  <c r="AF77" i="10" a="1"/>
  <c r="R77" i="10"/>
  <c r="Q77" i="10"/>
  <c r="P77" i="10"/>
  <c r="O77" i="10"/>
  <c r="N77" i="10"/>
  <c r="G77" i="10"/>
  <c r="F77" i="10"/>
  <c r="E77" i="10"/>
  <c r="D77" i="10"/>
  <c r="C77" i="10"/>
  <c r="AF77" i="10" l="1"/>
  <c r="AN76" i="10" a="1"/>
  <c r="AN76" i="10" l="1"/>
  <c r="AM76" i="10" a="1"/>
  <c r="AM76" i="10" l="1"/>
  <c r="AL76" i="10" a="1"/>
  <c r="AL76" i="10" l="1"/>
  <c r="AH76" i="10" a="1"/>
  <c r="AH76" i="10" l="1"/>
  <c r="AG76" i="10" a="1"/>
  <c r="AG76" i="10" l="1"/>
  <c r="AF76" i="10" a="1"/>
  <c r="R76" i="10"/>
  <c r="Q76" i="10"/>
  <c r="P76" i="10"/>
  <c r="O76" i="10"/>
  <c r="N76" i="10"/>
  <c r="G76" i="10"/>
  <c r="F76" i="10"/>
  <c r="E76" i="10"/>
  <c r="D76" i="10"/>
  <c r="C76" i="10"/>
  <c r="AF76" i="10" l="1"/>
  <c r="AN75" i="10" a="1"/>
  <c r="AN75" i="10" l="1"/>
  <c r="AM75" i="10" a="1"/>
  <c r="AM75" i="10" l="1"/>
  <c r="AL75" i="10" a="1"/>
  <c r="AL75" i="10" l="1"/>
  <c r="AH75" i="10" a="1"/>
  <c r="AH75" i="10" l="1"/>
  <c r="AG75" i="10" a="1"/>
  <c r="AG75" i="10" l="1"/>
  <c r="AF75" i="10" a="1"/>
  <c r="R75" i="10"/>
  <c r="Q75" i="10"/>
  <c r="P75" i="10"/>
  <c r="O75" i="10"/>
  <c r="N75" i="10"/>
  <c r="AF75" i="10" l="1"/>
  <c r="AN74" i="10" a="1"/>
  <c r="AN74" i="10" l="1"/>
  <c r="AM74" i="10" a="1"/>
  <c r="AM74" i="10" l="1"/>
  <c r="AL74" i="10" a="1"/>
  <c r="AL74" i="10" l="1"/>
  <c r="AH74" i="10" a="1"/>
  <c r="AH74" i="10" l="1"/>
  <c r="AG74" i="10" a="1"/>
  <c r="AG74" i="10" l="1"/>
  <c r="AF74" i="10" a="1"/>
  <c r="R74" i="10"/>
  <c r="Q74" i="10"/>
  <c r="P74" i="10"/>
  <c r="O74" i="10"/>
  <c r="N74" i="10"/>
  <c r="G74" i="10"/>
  <c r="F74" i="10"/>
  <c r="E74" i="10"/>
  <c r="D74" i="10"/>
  <c r="C74" i="10"/>
  <c r="AF74" i="10" l="1"/>
  <c r="AN73" i="10" a="1"/>
  <c r="AN73" i="10" l="1"/>
  <c r="AM73" i="10" a="1"/>
  <c r="AM73" i="10" l="1"/>
  <c r="AL73" i="10" a="1"/>
  <c r="AL73" i="10" l="1"/>
  <c r="AH73" i="10" a="1"/>
  <c r="AH73" i="10" l="1"/>
  <c r="AG73" i="10" a="1"/>
  <c r="AG73" i="10" l="1"/>
  <c r="AF73" i="10" a="1"/>
  <c r="R73" i="10"/>
  <c r="Q73" i="10"/>
  <c r="P73" i="10"/>
  <c r="O73" i="10"/>
  <c r="N73" i="10"/>
  <c r="G73" i="10"/>
  <c r="F73" i="10"/>
  <c r="E73" i="10"/>
  <c r="D73" i="10"/>
  <c r="C73" i="10"/>
  <c r="AF73" i="10" l="1"/>
  <c r="AN72" i="10" a="1"/>
  <c r="AN72" i="10" l="1"/>
  <c r="AM72" i="10" a="1"/>
  <c r="AM72" i="10" l="1"/>
  <c r="AL72" i="10" a="1"/>
  <c r="AL72" i="10" l="1"/>
  <c r="AH72" i="10" a="1"/>
  <c r="AH72" i="10" l="1"/>
  <c r="AG72" i="10" a="1"/>
  <c r="AG72" i="10" l="1"/>
  <c r="AF72" i="10" a="1"/>
  <c r="R72" i="10"/>
  <c r="Q72" i="10"/>
  <c r="P72" i="10"/>
  <c r="O72" i="10"/>
  <c r="N72" i="10"/>
  <c r="G72" i="10"/>
  <c r="F72" i="10"/>
  <c r="E72" i="10"/>
  <c r="D72" i="10"/>
  <c r="C72" i="10"/>
  <c r="AF72" i="10" l="1"/>
  <c r="AN71" i="10" a="1"/>
  <c r="AN71" i="10" l="1"/>
  <c r="AM71" i="10" a="1"/>
  <c r="AM71" i="10" l="1"/>
  <c r="AL71" i="10" a="1"/>
  <c r="AL71" i="10" l="1"/>
  <c r="AH71" i="10" a="1"/>
  <c r="AH71" i="10" l="1"/>
  <c r="AG71" i="10" a="1"/>
  <c r="AG71" i="10" l="1"/>
  <c r="AF71" i="10" a="1"/>
  <c r="G71" i="10"/>
  <c r="F71" i="10"/>
  <c r="E71" i="10"/>
  <c r="D71" i="10"/>
  <c r="C71" i="10"/>
  <c r="AF71" i="10" l="1"/>
  <c r="AN70" i="10" a="1"/>
  <c r="AN70" i="10" l="1"/>
  <c r="AM70" i="10" a="1"/>
  <c r="AM70" i="10" l="1"/>
  <c r="AL70" i="10" a="1"/>
  <c r="AL70" i="10" l="1"/>
  <c r="AH70" i="10" a="1"/>
  <c r="AH70" i="10" l="1"/>
  <c r="AG70" i="10" a="1"/>
  <c r="AG70" i="10" l="1"/>
  <c r="AF70" i="10" a="1"/>
  <c r="AF70" i="10" l="1"/>
  <c r="AN69" i="10" a="1"/>
  <c r="AN69" i="10" l="1"/>
  <c r="AM69" i="10" a="1"/>
  <c r="AM69" i="10" l="1"/>
  <c r="AL69" i="10" a="1"/>
  <c r="AL69" i="10" l="1"/>
  <c r="AH69" i="10" a="1"/>
  <c r="AH69" i="10" l="1"/>
  <c r="AG69" i="10" a="1"/>
  <c r="AG69" i="10" l="1"/>
  <c r="AF69" i="10" a="1"/>
  <c r="AF69" i="10" l="1"/>
  <c r="AN68" i="10" a="1"/>
  <c r="AN68" i="10" l="1"/>
  <c r="AM68" i="10" a="1"/>
  <c r="AM68" i="10" l="1"/>
  <c r="AL68" i="10" a="1"/>
  <c r="AL68" i="10" l="1"/>
  <c r="AH68" i="10" a="1"/>
  <c r="AH68" i="10" l="1"/>
  <c r="AG68" i="10" a="1"/>
  <c r="AG68" i="10" l="1"/>
  <c r="AF68" i="10" a="1"/>
  <c r="AF68" i="10" l="1"/>
  <c r="AN67" i="10" a="1"/>
  <c r="AN67" i="10" l="1"/>
  <c r="AM67" i="10" a="1"/>
  <c r="AM67" i="10" l="1"/>
  <c r="AL67" i="10" a="1"/>
  <c r="AL67" i="10" l="1"/>
  <c r="AH67" i="10" a="1"/>
  <c r="AH67" i="10" l="1"/>
  <c r="AG67" i="10" a="1"/>
  <c r="AG67" i="10" l="1"/>
  <c r="AF67" i="10" a="1"/>
  <c r="AF67" i="10" l="1"/>
  <c r="AN66" i="10" a="1"/>
  <c r="AN66" i="10" l="1"/>
  <c r="AM66" i="10" a="1"/>
  <c r="AM66" i="10" l="1"/>
  <c r="AL66" i="10" a="1"/>
  <c r="AL66" i="10" l="1"/>
  <c r="AH66" i="10" a="1"/>
  <c r="AH66" i="10" l="1"/>
  <c r="AG66" i="10" a="1"/>
  <c r="AG66" i="10" l="1"/>
  <c r="AF66" i="10" a="1"/>
  <c r="AF66" i="10" l="1"/>
  <c r="Z66" i="10"/>
  <c r="Y66" i="10"/>
  <c r="X66" i="10"/>
  <c r="W66" i="10"/>
  <c r="AN65" i="10" a="1"/>
  <c r="AN65" i="10" l="1"/>
  <c r="AM65" i="10" a="1"/>
  <c r="AM65" i="10" l="1"/>
  <c r="AL65" i="10" a="1"/>
  <c r="AL65" i="10" l="1"/>
  <c r="AH65" i="10" a="1"/>
  <c r="AH65" i="10" l="1"/>
  <c r="AG65" i="10" a="1"/>
  <c r="AG65" i="10" l="1"/>
  <c r="AF65" i="10" a="1"/>
  <c r="AF65" i="10" l="1"/>
  <c r="Z65" i="10"/>
  <c r="Y65" i="10"/>
  <c r="X65" i="10"/>
  <c r="W65" i="10"/>
  <c r="AN64" i="10" a="1"/>
  <c r="AN64" i="10" l="1"/>
  <c r="AM64" i="10" a="1"/>
  <c r="AM64" i="10" l="1"/>
  <c r="AL64" i="10" a="1"/>
  <c r="AL64" i="10" l="1"/>
  <c r="AH64" i="10" a="1"/>
  <c r="AH64" i="10" l="1"/>
  <c r="AG64" i="10" a="1"/>
  <c r="AG64" i="10" l="1"/>
  <c r="AF64" i="10" a="1"/>
  <c r="AF64" i="10" l="1"/>
  <c r="AN63" i="10" a="1"/>
  <c r="AN63" i="10" l="1"/>
  <c r="AM63" i="10" a="1"/>
  <c r="AM63" i="10" l="1"/>
  <c r="AL63" i="10" a="1"/>
  <c r="AL63" i="10" l="1"/>
  <c r="AH63" i="10" a="1"/>
  <c r="AH63" i="10" l="1"/>
  <c r="AG63" i="10" a="1"/>
  <c r="AG63" i="10" l="1"/>
  <c r="AF63" i="10" a="1"/>
  <c r="AF63" i="10" l="1"/>
  <c r="Z63" i="10"/>
  <c r="Y63" i="10"/>
  <c r="X63" i="10"/>
  <c r="W63" i="10"/>
  <c r="V63" i="10"/>
  <c r="AN62" i="10" a="1"/>
  <c r="AN62" i="10" l="1"/>
  <c r="AM62" i="10" a="1"/>
  <c r="AM62" i="10" l="1"/>
  <c r="AL62" i="10" a="1"/>
  <c r="AL62" i="10" l="1"/>
  <c r="AH62" i="10" a="1"/>
  <c r="AH62" i="10" l="1"/>
  <c r="AG62" i="10" a="1"/>
  <c r="AG62" i="10" l="1"/>
  <c r="AF62" i="10" a="1"/>
  <c r="AF62" i="10" l="1"/>
  <c r="Z62" i="10"/>
  <c r="Y62" i="10"/>
  <c r="X62" i="10"/>
  <c r="W62" i="10"/>
  <c r="V62" i="10"/>
  <c r="AN61" i="10" a="1"/>
  <c r="AN61" i="10" l="1"/>
  <c r="AM61" i="10" a="1"/>
  <c r="AM61" i="10" l="1"/>
  <c r="AL61" i="10" a="1"/>
  <c r="AL61" i="10" l="1"/>
  <c r="AH61" i="10" a="1"/>
  <c r="AH61" i="10" l="1"/>
  <c r="AG61" i="10" a="1"/>
  <c r="AG61" i="10" l="1"/>
  <c r="AF61" i="10" a="1"/>
  <c r="AF61" i="10" l="1"/>
  <c r="AN60" i="10" a="1"/>
  <c r="AN60" i="10" l="1"/>
  <c r="AM60" i="10" a="1"/>
  <c r="AM60" i="10" l="1"/>
  <c r="AL60" i="10" a="1"/>
  <c r="AL60" i="10" l="1"/>
  <c r="AH60" i="10" a="1"/>
  <c r="AH60" i="10" l="1"/>
  <c r="AG60" i="10" a="1"/>
  <c r="AG60" i="10" l="1"/>
  <c r="AF60" i="10" a="1"/>
  <c r="AF60" i="10" l="1"/>
  <c r="Z60" i="10"/>
  <c r="Y60" i="10"/>
  <c r="X60" i="10"/>
  <c r="W60" i="10"/>
  <c r="V60" i="10"/>
  <c r="AN59" i="10" a="1"/>
  <c r="AN59" i="10" l="1"/>
  <c r="AM59" i="10" a="1"/>
  <c r="AM59" i="10" l="1"/>
  <c r="AL59" i="10" a="1"/>
  <c r="AL59" i="10" l="1"/>
  <c r="AH59" i="10" a="1"/>
  <c r="AH59" i="10" l="1"/>
  <c r="AG59" i="10" a="1"/>
  <c r="AG59" i="10" l="1"/>
  <c r="AF59" i="10" a="1"/>
  <c r="AF59" i="10" l="1"/>
  <c r="Z59" i="10"/>
  <c r="Y59" i="10"/>
  <c r="X59" i="10"/>
  <c r="W59" i="10"/>
  <c r="V59" i="10"/>
  <c r="AN58" i="10" a="1"/>
  <c r="AN58" i="10" l="1"/>
  <c r="AM58" i="10" a="1"/>
  <c r="AM58" i="10" l="1"/>
  <c r="AL58" i="10" a="1"/>
  <c r="AL58" i="10" l="1"/>
  <c r="AH58" i="10" a="1"/>
  <c r="AH58" i="10" l="1"/>
  <c r="AG58" i="10" a="1"/>
  <c r="AG58" i="10" l="1"/>
  <c r="AF58" i="10" a="1"/>
  <c r="AF58" i="10" l="1"/>
  <c r="AN57" i="10" a="1"/>
  <c r="AN57" i="10" l="1"/>
  <c r="AM57" i="10" a="1"/>
  <c r="AM57" i="10" l="1"/>
  <c r="AL57" i="10" a="1"/>
  <c r="AL57" i="10" l="1"/>
  <c r="AH57" i="10" a="1"/>
  <c r="AH57" i="10" l="1"/>
  <c r="AG57" i="10" a="1"/>
  <c r="AG57" i="10" l="1"/>
  <c r="AF57" i="10" a="1"/>
  <c r="AF57" i="10" l="1"/>
  <c r="AN56" i="10" a="1"/>
  <c r="AN56" i="10" l="1"/>
  <c r="AM56" i="10" a="1"/>
  <c r="AM56" i="10" l="1"/>
  <c r="AL56" i="10" a="1"/>
  <c r="AL56" i="10" l="1"/>
  <c r="AH56" i="10" a="1"/>
  <c r="AH56" i="10" l="1"/>
  <c r="AG56" i="10" a="1"/>
  <c r="AG56" i="10" l="1"/>
  <c r="AF56" i="10" a="1"/>
  <c r="S56" i="10"/>
  <c r="R56" i="10"/>
  <c r="Q56" i="10"/>
  <c r="P56" i="10"/>
  <c r="O56" i="10"/>
  <c r="N56" i="10"/>
  <c r="M56" i="10"/>
  <c r="AF56" i="10" l="1"/>
  <c r="AN55" i="10" a="1"/>
  <c r="AN55" i="10" l="1"/>
  <c r="AM55" i="10" a="1"/>
  <c r="AM55" i="10" l="1"/>
  <c r="AL55" i="10" a="1"/>
  <c r="AL55" i="10" l="1"/>
  <c r="AH55" i="10" a="1"/>
  <c r="AH55" i="10" l="1"/>
  <c r="AG55" i="10" a="1"/>
  <c r="AG55" i="10" l="1"/>
  <c r="AF55" i="10" a="1"/>
  <c r="S55" i="10"/>
  <c r="R55" i="10"/>
  <c r="Q55" i="10"/>
  <c r="P55" i="10"/>
  <c r="O55" i="10"/>
  <c r="N55" i="10"/>
  <c r="M55" i="10"/>
  <c r="AF55" i="10" l="1"/>
  <c r="AN54" i="10" a="1"/>
  <c r="AN54" i="10" l="1"/>
  <c r="AM54" i="10" a="1"/>
  <c r="AM54" i="10" l="1"/>
  <c r="AL54" i="10" a="1"/>
  <c r="AL54" i="10" l="1"/>
  <c r="AH54" i="10" a="1"/>
  <c r="AH54" i="10" l="1"/>
  <c r="AG54" i="10" a="1"/>
  <c r="AG54" i="10" l="1"/>
  <c r="AF54" i="10" a="1"/>
  <c r="S54" i="10"/>
  <c r="R54" i="10"/>
  <c r="Q54" i="10"/>
  <c r="P54" i="10"/>
  <c r="O54" i="10"/>
  <c r="N54" i="10"/>
  <c r="M54" i="10"/>
  <c r="AF54" i="10" l="1"/>
  <c r="AN53" i="10" a="1"/>
  <c r="AN53" i="10" l="1"/>
  <c r="AM53" i="10" a="1"/>
  <c r="AM53" i="10" l="1"/>
  <c r="AL53" i="10" a="1"/>
  <c r="AL53" i="10" l="1"/>
  <c r="AH53" i="10" a="1"/>
  <c r="AH53" i="10" l="1"/>
  <c r="AG53" i="10" a="1"/>
  <c r="AG53" i="10" l="1"/>
  <c r="AF53" i="10" a="1"/>
  <c r="S53" i="10"/>
  <c r="R53" i="10"/>
  <c r="Q53" i="10"/>
  <c r="P53" i="10"/>
  <c r="O53" i="10"/>
  <c r="N53" i="10"/>
  <c r="M53" i="10"/>
  <c r="AF53" i="10" l="1"/>
  <c r="AN52" i="10" a="1"/>
  <c r="AN52" i="10" l="1"/>
  <c r="AM52" i="10" a="1"/>
  <c r="AM52" i="10" l="1"/>
  <c r="AL52" i="10" a="1"/>
  <c r="AL52" i="10" l="1"/>
  <c r="AH52" i="10" a="1"/>
  <c r="AH52" i="10" l="1"/>
  <c r="AG52" i="10" a="1"/>
  <c r="AG52" i="10" l="1"/>
  <c r="AF52" i="10" a="1"/>
  <c r="S52" i="10"/>
  <c r="R52" i="10"/>
  <c r="Q52" i="10"/>
  <c r="P52" i="10"/>
  <c r="O52" i="10"/>
  <c r="N52" i="10"/>
  <c r="M52" i="10"/>
  <c r="AF52" i="10" l="1"/>
  <c r="AT51" i="10" a="1"/>
  <c r="AT51" i="10" l="1"/>
  <c r="AS51" i="10" a="1"/>
  <c r="AS51" i="10" l="1"/>
  <c r="AR51" i="10" a="1"/>
  <c r="AR51" i="10" l="1"/>
  <c r="AN51" i="10" a="1"/>
  <c r="AN51" i="10" l="1"/>
  <c r="AM51" i="10" a="1"/>
  <c r="AM51" i="10" l="1"/>
  <c r="AL51" i="10" a="1"/>
  <c r="AL51" i="10" l="1"/>
  <c r="AH51" i="10" a="1"/>
  <c r="AH51" i="10" l="1"/>
  <c r="AG51" i="10" a="1"/>
  <c r="AG51" i="10" l="1"/>
  <c r="AF51" i="10" a="1"/>
  <c r="S51" i="10"/>
  <c r="R51" i="10"/>
  <c r="Q51" i="10"/>
  <c r="P51" i="10"/>
  <c r="O51" i="10"/>
  <c r="N51" i="10"/>
  <c r="M51" i="10"/>
  <c r="AF51" i="10" l="1"/>
  <c r="AT50" i="10" a="1"/>
  <c r="AT50" i="10" l="1"/>
  <c r="AS50" i="10" a="1"/>
  <c r="AS50" i="10" l="1"/>
  <c r="AR50" i="10" a="1"/>
  <c r="AR50" i="10" l="1"/>
  <c r="AN50" i="10" a="1"/>
  <c r="AN50" i="10" l="1"/>
  <c r="AM50" i="10" a="1"/>
  <c r="AM50" i="10" l="1"/>
  <c r="AL50" i="10" a="1"/>
  <c r="AL50" i="10" l="1"/>
  <c r="AH50" i="10" a="1"/>
  <c r="AH50" i="10" l="1"/>
  <c r="AG50" i="10" a="1"/>
  <c r="AG50" i="10" l="1"/>
  <c r="AF50" i="10" a="1"/>
  <c r="S50" i="10"/>
  <c r="R50" i="10"/>
  <c r="Q50" i="10"/>
  <c r="P50" i="10"/>
  <c r="O50" i="10"/>
  <c r="N50" i="10"/>
  <c r="M50" i="10"/>
  <c r="AF50" i="10" l="1"/>
  <c r="AT49" i="10" a="1"/>
  <c r="AT49" i="10" l="1"/>
  <c r="AS49" i="10" a="1"/>
  <c r="AS49" i="10" l="1"/>
  <c r="AR49" i="10" a="1"/>
  <c r="AR49" i="10" l="1"/>
  <c r="AN49" i="10" a="1"/>
  <c r="AN49" i="10" l="1"/>
  <c r="AM49" i="10" a="1"/>
  <c r="AM49" i="10" l="1"/>
  <c r="AL49" i="10" a="1"/>
  <c r="AL49" i="10" l="1"/>
  <c r="AH49" i="10" a="1"/>
  <c r="AH49" i="10" l="1"/>
  <c r="AG49" i="10" a="1"/>
  <c r="AG49" i="10" l="1"/>
  <c r="AF49" i="10" a="1"/>
  <c r="S49" i="10"/>
  <c r="R49" i="10"/>
  <c r="Q49" i="10"/>
  <c r="P49" i="10"/>
  <c r="O49" i="10"/>
  <c r="N49" i="10"/>
  <c r="M49" i="10"/>
  <c r="AF49" i="10" l="1"/>
  <c r="AT48" i="10" a="1"/>
  <c r="AT48" i="10" l="1"/>
  <c r="AS48" i="10" a="1"/>
  <c r="AS48" i="10" l="1"/>
  <c r="AR48" i="10" a="1"/>
  <c r="AR48" i="10" l="1"/>
  <c r="AN48" i="10" a="1"/>
  <c r="AN48" i="10" l="1"/>
  <c r="AM48" i="10" a="1"/>
  <c r="AM48" i="10" l="1"/>
  <c r="AL48" i="10" a="1"/>
  <c r="AL48" i="10" l="1"/>
  <c r="AH48" i="10" a="1"/>
  <c r="AH48" i="10" l="1"/>
  <c r="AG48" i="10" a="1"/>
  <c r="AG48" i="10" l="1"/>
  <c r="AF48" i="10" a="1"/>
  <c r="S48" i="10"/>
  <c r="R48" i="10"/>
  <c r="Q48" i="10"/>
  <c r="P48" i="10"/>
  <c r="O48" i="10"/>
  <c r="N48" i="10"/>
  <c r="M48" i="10"/>
  <c r="AF48" i="10" l="1"/>
  <c r="E48" i="10"/>
  <c r="D48" i="10"/>
  <c r="C48" i="10"/>
  <c r="A48" i="10"/>
  <c r="AT47" i="10" a="1"/>
  <c r="AT47" i="10" l="1"/>
  <c r="AS47" i="10" a="1"/>
  <c r="AS47" i="10" l="1"/>
  <c r="AR47" i="10" a="1"/>
  <c r="AR47" i="10" l="1"/>
  <c r="AN47" i="10" a="1"/>
  <c r="AN47" i="10" l="1"/>
  <c r="AM47" i="10" a="1"/>
  <c r="AM47" i="10" l="1"/>
  <c r="AL47" i="10" a="1"/>
  <c r="AL47" i="10" l="1"/>
  <c r="AH47" i="10" a="1"/>
  <c r="AH47" i="10" l="1"/>
  <c r="AG47" i="10" a="1"/>
  <c r="AG47" i="10" l="1"/>
  <c r="AF47" i="10" a="1"/>
  <c r="S47" i="10"/>
  <c r="R47" i="10"/>
  <c r="Q47" i="10"/>
  <c r="P47" i="10"/>
  <c r="O47" i="10"/>
  <c r="N47" i="10"/>
  <c r="M47" i="10"/>
  <c r="I47" i="10"/>
  <c r="H47" i="10"/>
  <c r="G47" i="10"/>
  <c r="F47" i="10"/>
  <c r="E47" i="10"/>
  <c r="D47" i="10"/>
  <c r="C47" i="10"/>
  <c r="AF47" i="10" l="1"/>
  <c r="AT46" i="10" a="1"/>
  <c r="AT46" i="10" l="1"/>
  <c r="AS46" i="10" a="1"/>
  <c r="AS46" i="10" l="1"/>
  <c r="AR46" i="10" a="1"/>
  <c r="AR46" i="10" l="1"/>
  <c r="AN46" i="10" a="1"/>
  <c r="AN46" i="10" l="1"/>
  <c r="AM46" i="10" a="1"/>
  <c r="AM46" i="10" l="1"/>
  <c r="AL46" i="10" a="1"/>
  <c r="AL46" i="10" l="1"/>
  <c r="AH46" i="10" a="1"/>
  <c r="AH46" i="10" l="1"/>
  <c r="AG46" i="10" a="1"/>
  <c r="AG46" i="10" l="1"/>
  <c r="AF46" i="10" a="1"/>
  <c r="S46" i="10"/>
  <c r="R46" i="10"/>
  <c r="Q46" i="10"/>
  <c r="P46" i="10"/>
  <c r="O46" i="10"/>
  <c r="N46" i="10"/>
  <c r="M46" i="10"/>
  <c r="I46" i="10"/>
  <c r="H46" i="10"/>
  <c r="G46" i="10"/>
  <c r="F46" i="10"/>
  <c r="E46" i="10"/>
  <c r="D46" i="10"/>
  <c r="C46" i="10"/>
  <c r="AF46" i="10" l="1"/>
  <c r="AT45" i="10" a="1"/>
  <c r="AT45" i="10" l="1"/>
  <c r="AS45" i="10" a="1"/>
  <c r="AS45" i="10" l="1"/>
  <c r="AR45" i="10" a="1"/>
  <c r="AR45" i="10" l="1"/>
  <c r="AN45" i="10" a="1"/>
  <c r="AN45" i="10" l="1"/>
  <c r="AM45" i="10" a="1"/>
  <c r="AM45" i="10" l="1"/>
  <c r="AL45" i="10" a="1"/>
  <c r="AL45" i="10" l="1"/>
  <c r="AH45" i="10" a="1"/>
  <c r="AH45" i="10" l="1"/>
  <c r="AG45" i="10" a="1"/>
  <c r="AG45" i="10" l="1"/>
  <c r="AF45" i="10" a="1"/>
  <c r="S45" i="10"/>
  <c r="R45" i="10"/>
  <c r="Q45" i="10"/>
  <c r="P45" i="10"/>
  <c r="O45" i="10"/>
  <c r="N45" i="10"/>
  <c r="M45" i="10"/>
  <c r="I45" i="10"/>
  <c r="H45" i="10"/>
  <c r="G45" i="10"/>
  <c r="F45" i="10"/>
  <c r="E45" i="10"/>
  <c r="D45" i="10"/>
  <c r="C45" i="10"/>
  <c r="AF45" i="10" l="1"/>
  <c r="AT44" i="10" a="1"/>
  <c r="AT44" i="10" l="1"/>
  <c r="AS44" i="10" a="1"/>
  <c r="AS44" i="10" l="1"/>
  <c r="AR44" i="10" a="1"/>
  <c r="AR44" i="10" l="1"/>
  <c r="AN44" i="10" a="1"/>
  <c r="AN44" i="10" l="1"/>
  <c r="AM44" i="10" a="1"/>
  <c r="AM44" i="10" l="1"/>
  <c r="AL44" i="10" a="1"/>
  <c r="AL44" i="10" l="1"/>
  <c r="AH44" i="10" a="1"/>
  <c r="AH44" i="10" l="1"/>
  <c r="AG44" i="10" a="1"/>
  <c r="AG44" i="10" l="1"/>
  <c r="AF44" i="10" a="1"/>
  <c r="S44" i="10"/>
  <c r="R44" i="10"/>
  <c r="Q44" i="10"/>
  <c r="P44" i="10"/>
  <c r="O44" i="10"/>
  <c r="N44" i="10"/>
  <c r="M44" i="10"/>
  <c r="I44" i="10"/>
  <c r="H44" i="10"/>
  <c r="G44" i="10"/>
  <c r="F44" i="10"/>
  <c r="E44" i="10"/>
  <c r="D44" i="10"/>
  <c r="C44" i="10"/>
  <c r="AF44" i="10" l="1"/>
  <c r="AT43" i="10" a="1"/>
  <c r="AT43" i="10" l="1"/>
  <c r="AS43" i="10" a="1"/>
  <c r="AS43" i="10" l="1"/>
  <c r="AR43" i="10" a="1"/>
  <c r="AR43" i="10" l="1"/>
  <c r="AN43" i="10" a="1"/>
  <c r="AN43" i="10" l="1"/>
  <c r="AM43" i="10" a="1"/>
  <c r="AM43" i="10" l="1"/>
  <c r="AL43" i="10" a="1"/>
  <c r="AL43" i="10" l="1"/>
  <c r="AH43" i="10" a="1"/>
  <c r="AH43" i="10" l="1"/>
  <c r="AG43" i="10" a="1"/>
  <c r="AG43" i="10" l="1"/>
  <c r="AF43" i="10" a="1"/>
  <c r="S43" i="10"/>
  <c r="R43" i="10"/>
  <c r="Q43" i="10"/>
  <c r="P43" i="10"/>
  <c r="O43" i="10"/>
  <c r="N43" i="10"/>
  <c r="M43" i="10"/>
  <c r="I43" i="10"/>
  <c r="H43" i="10"/>
  <c r="G43" i="10"/>
  <c r="F43" i="10"/>
  <c r="E43" i="10"/>
  <c r="D43" i="10"/>
  <c r="C43" i="10"/>
  <c r="AF43" i="10" l="1"/>
  <c r="AT42" i="10" a="1"/>
  <c r="AT42" i="10" l="1"/>
  <c r="AS42" i="10" a="1"/>
  <c r="AS42" i="10" l="1"/>
  <c r="AR42" i="10" a="1"/>
  <c r="AR42" i="10" l="1"/>
  <c r="AN42" i="10" a="1"/>
  <c r="AN42" i="10" l="1"/>
  <c r="AM42" i="10" a="1"/>
  <c r="AM42" i="10" l="1"/>
  <c r="AL42" i="10" a="1"/>
  <c r="AL42" i="10" l="1"/>
  <c r="AH42" i="10" a="1"/>
  <c r="AH42" i="10" l="1"/>
  <c r="AG42" i="10" a="1"/>
  <c r="AG42" i="10" l="1"/>
  <c r="AF42" i="10" a="1"/>
  <c r="S42" i="10"/>
  <c r="R42" i="10"/>
  <c r="Q42" i="10"/>
  <c r="P42" i="10"/>
  <c r="O42" i="10"/>
  <c r="N42" i="10"/>
  <c r="M42" i="10"/>
  <c r="I42" i="10"/>
  <c r="H42" i="10"/>
  <c r="G42" i="10"/>
  <c r="F42" i="10"/>
  <c r="E42" i="10"/>
  <c r="D42" i="10"/>
  <c r="C42" i="10"/>
  <c r="AF42" i="10" l="1"/>
  <c r="AT41" i="10" a="1"/>
  <c r="AT41" i="10" l="1"/>
  <c r="AS41" i="10" a="1"/>
  <c r="AS41" i="10" l="1"/>
  <c r="AR41" i="10" a="1"/>
  <c r="AR41" i="10" l="1"/>
  <c r="AN41" i="10" a="1"/>
  <c r="AN41" i="10" l="1"/>
  <c r="AM41" i="10" a="1"/>
  <c r="AM41" i="10" l="1"/>
  <c r="AL41" i="10" a="1"/>
  <c r="AL41" i="10" l="1"/>
  <c r="AH41" i="10" a="1"/>
  <c r="AH41" i="10" l="1"/>
  <c r="AG41" i="10" a="1"/>
  <c r="AG41" i="10" l="1"/>
  <c r="AF41" i="10" a="1"/>
  <c r="S41" i="10"/>
  <c r="R41" i="10"/>
  <c r="Q41" i="10"/>
  <c r="P41" i="10"/>
  <c r="O41" i="10"/>
  <c r="N41" i="10"/>
  <c r="M41" i="10"/>
  <c r="I41" i="10"/>
  <c r="H41" i="10"/>
  <c r="G41" i="10"/>
  <c r="F41" i="10"/>
  <c r="E41" i="10"/>
  <c r="D41" i="10"/>
  <c r="C41" i="10"/>
  <c r="AF41" i="10" l="1"/>
  <c r="AT40" i="10" a="1"/>
  <c r="AT40" i="10" l="1"/>
  <c r="AS40" i="10" a="1"/>
  <c r="AS40" i="10" l="1"/>
  <c r="AR40" i="10" a="1"/>
  <c r="AR40" i="10" l="1"/>
  <c r="AN40" i="10" a="1"/>
  <c r="AN40" i="10" l="1"/>
  <c r="AM40" i="10" a="1"/>
  <c r="AM40" i="10" l="1"/>
  <c r="AL40" i="10" a="1"/>
  <c r="AL40" i="10" l="1"/>
  <c r="AH40" i="10" a="1"/>
  <c r="AH40" i="10" l="1"/>
  <c r="AG40" i="10" a="1"/>
  <c r="AG40" i="10" l="1"/>
  <c r="AF40" i="10" a="1"/>
  <c r="S40" i="10"/>
  <c r="R40" i="10"/>
  <c r="Q40" i="10"/>
  <c r="P40" i="10"/>
  <c r="O40" i="10"/>
  <c r="N40" i="10"/>
  <c r="M40" i="10"/>
  <c r="I40" i="10"/>
  <c r="H40" i="10"/>
  <c r="G40" i="10"/>
  <c r="F40" i="10"/>
  <c r="E40" i="10"/>
  <c r="D40" i="10"/>
  <c r="C40" i="10"/>
  <c r="AF40" i="10" l="1"/>
  <c r="AT39" i="10" a="1"/>
  <c r="AT39" i="10" l="1"/>
  <c r="AS39" i="10" a="1"/>
  <c r="AS39" i="10" l="1"/>
  <c r="AR39" i="10" a="1"/>
  <c r="AR39" i="10" l="1"/>
  <c r="AN39" i="10" a="1"/>
  <c r="AN39" i="10" l="1"/>
  <c r="AM39" i="10" a="1"/>
  <c r="AM39" i="10" l="1"/>
  <c r="AL39" i="10" a="1"/>
  <c r="AL39" i="10" l="1"/>
  <c r="AH39" i="10" a="1"/>
  <c r="AH39" i="10" l="1"/>
  <c r="AG39" i="10" a="1"/>
  <c r="AG39" i="10" l="1"/>
  <c r="AF39" i="10" a="1"/>
  <c r="S39" i="10"/>
  <c r="R39" i="10"/>
  <c r="Q39" i="10"/>
  <c r="P39" i="10"/>
  <c r="O39" i="10"/>
  <c r="N39" i="10"/>
  <c r="M39" i="10"/>
  <c r="I39" i="10"/>
  <c r="H39" i="10"/>
  <c r="G39" i="10"/>
  <c r="F39" i="10"/>
  <c r="E39" i="10"/>
  <c r="D39" i="10"/>
  <c r="C39" i="10"/>
  <c r="AF39" i="10" l="1"/>
  <c r="AT38" i="10" a="1"/>
  <c r="AT38" i="10" l="1"/>
  <c r="AS38" i="10" a="1"/>
  <c r="AS38" i="10" l="1"/>
  <c r="AR38" i="10" a="1"/>
  <c r="AR38" i="10" l="1"/>
  <c r="AN38" i="10" a="1"/>
  <c r="AN38" i="10" l="1"/>
  <c r="AM38" i="10" a="1"/>
  <c r="AM38" i="10" l="1"/>
  <c r="AL38" i="10" a="1"/>
  <c r="AL38" i="10" l="1"/>
  <c r="AH38" i="10" a="1"/>
  <c r="AH38" i="10" l="1"/>
  <c r="AG38" i="10" a="1"/>
  <c r="AG38" i="10" l="1"/>
  <c r="AF38" i="10" a="1"/>
  <c r="S38" i="10"/>
  <c r="R38" i="10"/>
  <c r="Q38" i="10"/>
  <c r="P38" i="10"/>
  <c r="O38" i="10"/>
  <c r="N38" i="10"/>
  <c r="M38" i="10"/>
  <c r="I38" i="10"/>
  <c r="H38" i="10"/>
  <c r="G38" i="10"/>
  <c r="F38" i="10"/>
  <c r="E38" i="10"/>
  <c r="D38" i="10"/>
  <c r="C38" i="10"/>
  <c r="AF38" i="10" l="1"/>
  <c r="AT37" i="10" a="1"/>
  <c r="AT37" i="10" l="1"/>
  <c r="AS37" i="10" a="1"/>
  <c r="AS37" i="10" l="1"/>
  <c r="AR37" i="10" a="1"/>
  <c r="AR37" i="10" l="1"/>
  <c r="AN37" i="10" a="1"/>
  <c r="AN37" i="10" l="1"/>
  <c r="AM37" i="10" a="1"/>
  <c r="AM37" i="10" l="1"/>
  <c r="AL37" i="10" a="1"/>
  <c r="AL37" i="10" l="1"/>
  <c r="AH37" i="10" a="1"/>
  <c r="AH37" i="10" l="1"/>
  <c r="AG37" i="10" a="1"/>
  <c r="AG37" i="10" l="1"/>
  <c r="AF37" i="10" a="1"/>
  <c r="S37" i="10"/>
  <c r="R37" i="10"/>
  <c r="Q37" i="10"/>
  <c r="P37" i="10"/>
  <c r="O37" i="10"/>
  <c r="N37" i="10"/>
  <c r="M37" i="10"/>
  <c r="I37" i="10"/>
  <c r="H37" i="10"/>
  <c r="G37" i="10"/>
  <c r="F37" i="10"/>
  <c r="E37" i="10"/>
  <c r="D37" i="10"/>
  <c r="C37" i="10"/>
  <c r="C60" i="10" l="1"/>
  <c r="C59" i="10"/>
  <c r="D60" i="10"/>
  <c r="D59" i="10"/>
  <c r="E60" i="10"/>
  <c r="E59" i="10"/>
  <c r="F60" i="10"/>
  <c r="F59" i="10"/>
  <c r="G60" i="10"/>
  <c r="G59" i="10"/>
  <c r="M60" i="10"/>
  <c r="M59" i="10"/>
  <c r="N60" i="10"/>
  <c r="N59" i="10"/>
  <c r="O60" i="10"/>
  <c r="O59" i="10"/>
  <c r="P60" i="10"/>
  <c r="P59" i="10"/>
  <c r="Q60" i="10"/>
  <c r="Q59" i="10"/>
  <c r="AF37" i="10"/>
  <c r="AT36" i="10" a="1"/>
  <c r="AT36" i="10" l="1"/>
  <c r="AS36" i="10" a="1"/>
  <c r="AS36" i="10" l="1"/>
  <c r="AR36" i="10" a="1"/>
  <c r="AR36" i="10" l="1"/>
  <c r="AN36" i="10" a="1"/>
  <c r="AN36" i="10" l="1"/>
  <c r="AM36" i="10" a="1"/>
  <c r="AM36" i="10" l="1"/>
  <c r="AL36" i="10" a="1"/>
  <c r="AL36" i="10" l="1"/>
  <c r="AH36" i="10" a="1"/>
  <c r="AH36" i="10" l="1"/>
  <c r="AG36" i="10" a="1"/>
  <c r="AG36" i="10" l="1"/>
  <c r="AF36" i="10" a="1"/>
  <c r="AF36" i="10" l="1"/>
  <c r="AT35" i="10" a="1"/>
  <c r="AT35" i="10" l="1"/>
  <c r="AS35" i="10" a="1"/>
  <c r="AS35" i="10" l="1"/>
  <c r="AR35" i="10" a="1"/>
  <c r="AR35" i="10" l="1"/>
  <c r="AN35" i="10" a="1"/>
  <c r="AN35" i="10" l="1"/>
  <c r="AM35" i="10" a="1"/>
  <c r="AM35" i="10" l="1"/>
  <c r="AL35" i="10" a="1"/>
  <c r="AL35" i="10" l="1"/>
  <c r="AH35" i="10" a="1"/>
  <c r="AH35" i="10" l="1"/>
  <c r="AG35" i="10" a="1"/>
  <c r="AG35" i="10" l="1"/>
  <c r="AF35" i="10" a="1"/>
  <c r="AF35" i="10" l="1"/>
  <c r="AT34" i="10" a="1"/>
  <c r="AT34" i="10" l="1"/>
  <c r="AS34" i="10" a="1"/>
  <c r="AS34" i="10" l="1"/>
  <c r="AR34" i="10" a="1"/>
  <c r="AR34" i="10" l="1"/>
  <c r="AN34" i="10" a="1"/>
  <c r="AN34" i="10" l="1"/>
  <c r="AM34" i="10" a="1"/>
  <c r="AM34" i="10" l="1"/>
  <c r="AL34" i="10" a="1"/>
  <c r="AL34" i="10" l="1"/>
  <c r="AH34" i="10" a="1"/>
  <c r="AH34" i="10" l="1"/>
  <c r="AG34" i="10" a="1"/>
  <c r="AG34" i="10" l="1"/>
  <c r="AF34" i="10" a="1"/>
  <c r="AF34" i="10" l="1"/>
  <c r="AT33" i="10" a="1"/>
  <c r="AT33" i="10" l="1"/>
  <c r="AS33" i="10" a="1"/>
  <c r="AS33" i="10" l="1"/>
  <c r="AR33" i="10" a="1"/>
  <c r="AR33" i="10" l="1"/>
  <c r="AN33" i="10" a="1"/>
  <c r="AN33" i="10" l="1"/>
  <c r="AM33" i="10" a="1"/>
  <c r="AM33" i="10" l="1"/>
  <c r="AL33" i="10" a="1"/>
  <c r="AL33" i="10" l="1"/>
  <c r="AH33" i="10" a="1"/>
  <c r="AH33" i="10" l="1"/>
  <c r="AG33" i="10" a="1"/>
  <c r="AG33" i="10" l="1"/>
  <c r="AF33" i="10" a="1"/>
  <c r="AF33" i="10" l="1"/>
  <c r="AT32" i="10" a="1"/>
  <c r="AT32" i="10" l="1"/>
  <c r="AS32" i="10" a="1"/>
  <c r="AS32" i="10" l="1"/>
  <c r="AR32" i="10" a="1"/>
  <c r="AR32" i="10" l="1"/>
  <c r="AN32" i="10" a="1"/>
  <c r="AN32" i="10" l="1"/>
  <c r="AM32" i="10" a="1"/>
  <c r="AM32" i="10" l="1"/>
  <c r="AL32" i="10" a="1"/>
  <c r="AL32" i="10" l="1"/>
  <c r="AH32" i="10" a="1"/>
  <c r="AH32" i="10" l="1"/>
  <c r="AG32" i="10" a="1"/>
  <c r="AG32" i="10" l="1"/>
  <c r="AF32" i="10" a="1"/>
  <c r="AF32" i="10" l="1"/>
  <c r="AT31" i="10" a="1"/>
  <c r="AT31" i="10" l="1"/>
  <c r="AS31" i="10" a="1"/>
  <c r="AS31" i="10" l="1"/>
  <c r="AR31" i="10" a="1"/>
  <c r="AR31" i="10" l="1"/>
  <c r="AN31" i="10" a="1"/>
  <c r="AN31" i="10" l="1"/>
  <c r="AM31" i="10" a="1"/>
  <c r="AM31" i="10" l="1"/>
  <c r="AL31" i="10" a="1"/>
  <c r="AL31" i="10" l="1"/>
  <c r="AH31" i="10" a="1"/>
  <c r="AH31" i="10" l="1"/>
  <c r="AG31" i="10" a="1"/>
  <c r="AG31" i="10" l="1"/>
  <c r="AF31" i="10" a="1"/>
  <c r="AF31" i="10" l="1"/>
  <c r="Z31" i="10"/>
  <c r="Y31" i="10"/>
  <c r="X31" i="10"/>
  <c r="W31" i="10"/>
  <c r="V31" i="10"/>
  <c r="AT30" i="10" a="1"/>
  <c r="AT30" i="10" l="1"/>
  <c r="AS30" i="10" a="1"/>
  <c r="AS30" i="10" l="1"/>
  <c r="AR30" i="10" a="1"/>
  <c r="AR30" i="10" l="1"/>
  <c r="AN30" i="10" a="1"/>
  <c r="AN30" i="10" l="1"/>
  <c r="AM30" i="10" a="1"/>
  <c r="AM30" i="10" l="1"/>
  <c r="AL30" i="10" a="1"/>
  <c r="AL30" i="10" l="1"/>
  <c r="AH30" i="10" a="1"/>
  <c r="AH30" i="10" l="1"/>
  <c r="AG30" i="10" a="1"/>
  <c r="AG30" i="10" l="1"/>
  <c r="AF30" i="10" a="1"/>
  <c r="AF30" i="10" l="1"/>
  <c r="Z30" i="10"/>
  <c r="Y30" i="10"/>
  <c r="X30" i="10"/>
  <c r="W30" i="10"/>
  <c r="V30" i="10"/>
  <c r="AT29" i="10" a="1"/>
  <c r="AT29" i="10" l="1"/>
  <c r="AS29" i="10" a="1"/>
  <c r="AS29" i="10" l="1"/>
  <c r="AR29" i="10" a="1"/>
  <c r="AR29" i="10" l="1"/>
  <c r="AN29" i="10" a="1"/>
  <c r="AN29" i="10" l="1"/>
  <c r="AM29" i="10" a="1"/>
  <c r="AM29" i="10" l="1"/>
  <c r="AL29" i="10" a="1"/>
  <c r="AL29" i="10" l="1"/>
  <c r="AH29" i="10" a="1"/>
  <c r="AH29" i="10" l="1"/>
  <c r="AG29" i="10" a="1"/>
  <c r="AG29" i="10" l="1"/>
  <c r="AF29" i="10" a="1"/>
  <c r="AF29" i="10" l="1"/>
  <c r="Z29" i="10"/>
  <c r="Y29" i="10"/>
  <c r="X29" i="10"/>
  <c r="W29" i="10"/>
  <c r="V29" i="10"/>
  <c r="AT28" i="10" a="1"/>
  <c r="AT28" i="10" l="1"/>
  <c r="AS28" i="10" a="1"/>
  <c r="AS28" i="10" l="1"/>
  <c r="AR28" i="10" a="1"/>
  <c r="AR28" i="10" l="1"/>
  <c r="AN28" i="10" a="1"/>
  <c r="AN28" i="10" l="1"/>
  <c r="AM28" i="10" a="1"/>
  <c r="AM28" i="10" l="1"/>
  <c r="AL28" i="10" a="1"/>
  <c r="AL28" i="10" l="1"/>
  <c r="AH28" i="10" a="1"/>
  <c r="AH28" i="10" l="1"/>
  <c r="AG28" i="10" a="1"/>
  <c r="AG28" i="10" l="1"/>
  <c r="AF28" i="10" a="1"/>
  <c r="AF28" i="10" l="1"/>
  <c r="Z28" i="10"/>
  <c r="Y28" i="10"/>
  <c r="X28" i="10"/>
  <c r="W28" i="10"/>
  <c r="V28" i="10"/>
  <c r="AT27" i="10" a="1"/>
  <c r="AT27" i="10" l="1"/>
  <c r="AS27" i="10" a="1"/>
  <c r="AS27" i="10" l="1"/>
  <c r="AR27" i="10" a="1"/>
  <c r="AR27" i="10" l="1"/>
  <c r="AN27" i="10" a="1"/>
  <c r="AN27" i="10" l="1"/>
  <c r="AM27" i="10" a="1"/>
  <c r="AM27" i="10" l="1"/>
  <c r="AL27" i="10" a="1"/>
  <c r="AL27" i="10" l="1"/>
  <c r="AH27" i="10" a="1"/>
  <c r="AH27" i="10" l="1"/>
  <c r="AG27" i="10" a="1"/>
  <c r="AG27" i="10" l="1"/>
  <c r="AF27" i="10" a="1"/>
  <c r="AF27" i="10" l="1"/>
  <c r="AT26" i="10" a="1"/>
  <c r="AT26" i="10" l="1"/>
  <c r="AS26" i="10" a="1"/>
  <c r="AS26" i="10" l="1"/>
  <c r="AR26" i="10" a="1"/>
  <c r="AR26" i="10" l="1"/>
  <c r="AN26" i="10" a="1"/>
  <c r="AN26" i="10" l="1"/>
  <c r="AM26" i="10" a="1"/>
  <c r="AM26" i="10" l="1"/>
  <c r="AL26" i="10" a="1"/>
  <c r="AL26" i="10" l="1"/>
  <c r="AH26" i="10" a="1"/>
  <c r="AH26" i="10" l="1"/>
  <c r="AG26" i="10" a="1"/>
  <c r="AG26" i="10" l="1"/>
  <c r="AF26" i="10" a="1"/>
  <c r="AF26" i="10" l="1"/>
  <c r="AT25" i="10" a="1"/>
  <c r="AT25" i="10" l="1"/>
  <c r="AS25" i="10" a="1"/>
  <c r="AS25" i="10" l="1"/>
  <c r="AR25" i="10" a="1"/>
  <c r="AR25" i="10" l="1"/>
  <c r="AN25" i="10" a="1"/>
  <c r="AN25" i="10" l="1"/>
  <c r="AM25" i="10" a="1"/>
  <c r="AM25" i="10" l="1"/>
  <c r="AL25" i="10" a="1"/>
  <c r="AL25" i="10" l="1"/>
  <c r="AH25" i="10" a="1"/>
  <c r="AH25" i="10" l="1"/>
  <c r="AG25" i="10" a="1"/>
  <c r="AG25" i="10" l="1"/>
  <c r="AF25" i="10" a="1"/>
  <c r="Q25" i="10"/>
  <c r="P25" i="10"/>
  <c r="O25" i="10"/>
  <c r="N25" i="10"/>
  <c r="M25" i="10"/>
  <c r="G25" i="10"/>
  <c r="F25" i="10"/>
  <c r="E25" i="10"/>
  <c r="D25" i="10"/>
  <c r="C25" i="10"/>
  <c r="AF25" i="10" l="1"/>
  <c r="AT24" i="10" a="1"/>
  <c r="AT24" i="10" l="1"/>
  <c r="AS24" i="10" a="1"/>
  <c r="AS24" i="10" l="1"/>
  <c r="AR24" i="10" a="1"/>
  <c r="AR24" i="10" l="1"/>
  <c r="AN24" i="10" a="1"/>
  <c r="AN24" i="10" l="1"/>
  <c r="AM24" i="10" a="1"/>
  <c r="AM24" i="10" l="1"/>
  <c r="AL24" i="10" a="1"/>
  <c r="AL24" i="10" l="1"/>
  <c r="AH24" i="10" a="1"/>
  <c r="AH24" i="10" l="1"/>
  <c r="AG24" i="10" a="1"/>
  <c r="AG24" i="10" l="1"/>
  <c r="AF24" i="10" a="1"/>
  <c r="Q24" i="10"/>
  <c r="P24" i="10"/>
  <c r="O24" i="10"/>
  <c r="N24" i="10"/>
  <c r="M24" i="10"/>
  <c r="G24" i="10"/>
  <c r="F24" i="10"/>
  <c r="E24" i="10"/>
  <c r="D24" i="10"/>
  <c r="C24" i="10"/>
  <c r="AF24" i="10" l="1"/>
  <c r="AT23" i="10" a="1"/>
  <c r="AT23" i="10" l="1"/>
  <c r="AS23" i="10" a="1"/>
  <c r="AS23" i="10" l="1"/>
  <c r="AR23" i="10" a="1"/>
  <c r="AR23" i="10" l="1"/>
  <c r="AN23" i="10" a="1"/>
  <c r="AN23" i="10" l="1"/>
  <c r="AM23" i="10" a="1"/>
  <c r="AM23" i="10" l="1"/>
  <c r="AL23" i="10" a="1"/>
  <c r="AL23" i="10" l="1"/>
  <c r="AH23" i="10" a="1"/>
  <c r="AH23" i="10" l="1"/>
  <c r="AG23" i="10" a="1"/>
  <c r="AG23" i="10" l="1"/>
  <c r="AF23" i="10" a="1"/>
  <c r="Q23" i="10"/>
  <c r="P23" i="10"/>
  <c r="O23" i="10"/>
  <c r="N23" i="10"/>
  <c r="M23" i="10"/>
  <c r="G23" i="10"/>
  <c r="F23" i="10"/>
  <c r="E23" i="10"/>
  <c r="D23" i="10"/>
  <c r="C23" i="10"/>
  <c r="AF23" i="10" l="1"/>
  <c r="AT22" i="10" a="1"/>
  <c r="AT22" i="10" l="1"/>
  <c r="AS22" i="10" a="1"/>
  <c r="AS22" i="10" l="1"/>
  <c r="AR22" i="10" a="1"/>
  <c r="AR22" i="10" l="1"/>
  <c r="AN22" i="10" a="1"/>
  <c r="AN22" i="10" l="1"/>
  <c r="AM22" i="10" a="1"/>
  <c r="AM22" i="10" l="1"/>
  <c r="AL22" i="10" a="1"/>
  <c r="AL22" i="10" l="1"/>
  <c r="AH22" i="10" a="1"/>
  <c r="AH22" i="10" l="1"/>
  <c r="AG22" i="10" a="1"/>
  <c r="AG22" i="10" l="1"/>
  <c r="AF22" i="10" a="1"/>
  <c r="Q22" i="10"/>
  <c r="P22" i="10"/>
  <c r="O22" i="10"/>
  <c r="N22" i="10"/>
  <c r="M22" i="10"/>
  <c r="G22" i="10"/>
  <c r="F22" i="10"/>
  <c r="E22" i="10"/>
  <c r="D22" i="10"/>
  <c r="C22" i="10"/>
  <c r="AF22" i="10" l="1"/>
  <c r="AT21" i="10" a="1"/>
  <c r="AT21" i="10" l="1"/>
  <c r="AS21" i="10" a="1"/>
  <c r="AS21" i="10" l="1"/>
  <c r="AR21" i="10" a="1"/>
  <c r="AR21" i="10" l="1"/>
  <c r="AN21" i="10" a="1"/>
  <c r="AN21" i="10" l="1"/>
  <c r="AM21" i="10" a="1"/>
  <c r="AM21" i="10" l="1"/>
  <c r="AL21" i="10" a="1"/>
  <c r="AL21" i="10" l="1"/>
  <c r="AH21" i="10" a="1"/>
  <c r="AH21" i="10" l="1"/>
  <c r="AG21" i="10" a="1"/>
  <c r="AG21" i="10" l="1"/>
  <c r="AF21" i="10" a="1"/>
  <c r="Q21" i="10"/>
  <c r="P21" i="10"/>
  <c r="O21" i="10"/>
  <c r="N21" i="10"/>
  <c r="M21" i="10"/>
  <c r="G21" i="10"/>
  <c r="F21" i="10"/>
  <c r="E21" i="10"/>
  <c r="D21" i="10"/>
  <c r="C21" i="10"/>
  <c r="AF21" i="10" l="1"/>
  <c r="AT20" i="10" a="1"/>
  <c r="AT20" i="10" l="1"/>
  <c r="AS20" i="10" a="1"/>
  <c r="AS20" i="10" l="1"/>
  <c r="AR20" i="10" a="1"/>
  <c r="AR20" i="10" l="1"/>
  <c r="AN20" i="10" a="1"/>
  <c r="AN20" i="10" l="1"/>
  <c r="AM20" i="10" a="1"/>
  <c r="AM20" i="10" l="1"/>
  <c r="AL20" i="10" a="1"/>
  <c r="AL20" i="10" l="1"/>
  <c r="AH20" i="10" a="1"/>
  <c r="AH20" i="10" l="1"/>
  <c r="AG20" i="10" a="1"/>
  <c r="AG20" i="10" l="1"/>
  <c r="AF20" i="10" a="1"/>
  <c r="Q20" i="10"/>
  <c r="P20" i="10"/>
  <c r="O20" i="10"/>
  <c r="N20" i="10"/>
  <c r="M20" i="10"/>
  <c r="G20" i="10"/>
  <c r="F20" i="10"/>
  <c r="E20" i="10"/>
  <c r="D20" i="10"/>
  <c r="C20" i="10"/>
  <c r="C31" i="10" l="1"/>
  <c r="C30" i="10"/>
  <c r="D31" i="10"/>
  <c r="D30" i="10"/>
  <c r="E31" i="10"/>
  <c r="E30" i="10"/>
  <c r="F31" i="10"/>
  <c r="F30" i="10"/>
  <c r="G31" i="10"/>
  <c r="G30" i="10"/>
  <c r="M31" i="10"/>
  <c r="M30" i="10"/>
  <c r="N31" i="10"/>
  <c r="N30" i="10"/>
  <c r="O31" i="10"/>
  <c r="O30" i="10"/>
  <c r="P31" i="10"/>
  <c r="P30" i="10"/>
  <c r="Q31" i="10"/>
  <c r="Q30" i="10"/>
  <c r="AF20" i="10"/>
  <c r="AT19" i="10" a="1"/>
  <c r="AT19" i="10" l="1"/>
  <c r="AS19" i="10" a="1"/>
  <c r="AS19" i="10" l="1"/>
  <c r="AR19" i="10" a="1"/>
  <c r="AR19" i="10" l="1"/>
  <c r="AN19" i="10" a="1"/>
  <c r="AN19" i="10" l="1"/>
  <c r="AM19" i="10" a="1"/>
  <c r="AM19" i="10" l="1"/>
  <c r="AL19" i="10" a="1"/>
  <c r="AL19" i="10" l="1"/>
  <c r="AH19" i="10" a="1"/>
  <c r="AH19" i="10" l="1"/>
  <c r="AG19" i="10" a="1"/>
  <c r="AG19" i="10" l="1"/>
  <c r="AF19" i="10" a="1"/>
  <c r="AF19" i="10" l="1"/>
  <c r="AT18" i="10" a="1"/>
  <c r="AT18" i="10" l="1"/>
  <c r="AS18" i="10" a="1"/>
  <c r="AS18" i="10" l="1"/>
  <c r="AR18" i="10" a="1"/>
  <c r="AR18" i="10" l="1"/>
  <c r="AN18" i="10" a="1"/>
  <c r="AN18" i="10" l="1"/>
  <c r="AM18" i="10" a="1"/>
  <c r="AM18" i="10" l="1"/>
  <c r="AL18" i="10" a="1"/>
  <c r="AL18" i="10" l="1"/>
  <c r="AH18" i="10" a="1"/>
  <c r="AH18" i="10" l="1"/>
  <c r="AG18" i="10" a="1"/>
  <c r="AG18" i="10" l="1"/>
  <c r="AF18" i="10" a="1"/>
  <c r="AF18" i="10" l="1"/>
  <c r="AT17" i="10" a="1"/>
  <c r="AT17" i="10" l="1"/>
  <c r="AS17" i="10" a="1"/>
  <c r="AS17" i="10" l="1"/>
  <c r="AR17" i="10" a="1"/>
  <c r="AR17" i="10" l="1"/>
  <c r="AN17" i="10" a="1"/>
  <c r="AN17" i="10" l="1"/>
  <c r="AM17" i="10" a="1"/>
  <c r="AM17" i="10" l="1"/>
  <c r="AL17" i="10" a="1"/>
  <c r="AL17" i="10" l="1"/>
  <c r="AH17" i="10" a="1"/>
  <c r="AH17" i="10" l="1"/>
  <c r="AG17" i="10" a="1"/>
  <c r="AG17" i="10" l="1"/>
  <c r="AF17" i="10" a="1"/>
  <c r="Q17" i="10"/>
  <c r="P17" i="10"/>
  <c r="O17" i="10"/>
  <c r="N17" i="10"/>
  <c r="M17" i="10"/>
  <c r="G17" i="10"/>
  <c r="F17" i="10"/>
  <c r="E17" i="10"/>
  <c r="D17" i="10"/>
  <c r="C17" i="10"/>
  <c r="AF17" i="10" l="1"/>
  <c r="AT16" i="10" a="1"/>
  <c r="AT16" i="10" l="1"/>
  <c r="AS16" i="10" a="1"/>
  <c r="AS16" i="10" l="1"/>
  <c r="AR16" i="10" a="1"/>
  <c r="AR16" i="10" l="1"/>
  <c r="AN16" i="10" a="1"/>
  <c r="AN16" i="10" l="1"/>
  <c r="AM16" i="10" a="1"/>
  <c r="AM16" i="10" l="1"/>
  <c r="AL16" i="10" a="1"/>
  <c r="AL16" i="10" l="1"/>
  <c r="AH16" i="10" a="1"/>
  <c r="AH16" i="10" l="1"/>
  <c r="AG16" i="10" a="1"/>
  <c r="AG16" i="10" l="1"/>
  <c r="AF16" i="10" a="1"/>
  <c r="Q16" i="10"/>
  <c r="P16" i="10"/>
  <c r="O16" i="10"/>
  <c r="N16" i="10"/>
  <c r="M16" i="10"/>
  <c r="G16" i="10"/>
  <c r="F16" i="10"/>
  <c r="E16" i="10"/>
  <c r="D16" i="10"/>
  <c r="C16" i="10"/>
  <c r="AF16" i="10" l="1"/>
  <c r="AT15" i="10" a="1"/>
  <c r="AT15" i="10" l="1"/>
  <c r="AS15" i="10" a="1"/>
  <c r="AS15" i="10" l="1"/>
  <c r="AR15" i="10" a="1"/>
  <c r="AR15" i="10" l="1"/>
  <c r="AN15" i="10" a="1"/>
  <c r="AN15" i="10" l="1"/>
  <c r="AM15" i="10" a="1"/>
  <c r="AM15" i="10" l="1"/>
  <c r="AL15" i="10" a="1"/>
  <c r="AL15" i="10" l="1"/>
  <c r="AH15" i="10" a="1"/>
  <c r="AH15" i="10" l="1"/>
  <c r="AG15" i="10" a="1"/>
  <c r="AG15" i="10" l="1"/>
  <c r="AF15" i="10" a="1"/>
  <c r="Q15" i="10"/>
  <c r="P15" i="10"/>
  <c r="O15" i="10"/>
  <c r="N15" i="10"/>
  <c r="M15" i="10"/>
  <c r="G15" i="10"/>
  <c r="F15" i="10"/>
  <c r="E15" i="10"/>
  <c r="D15" i="10"/>
  <c r="C15" i="10"/>
  <c r="AF15" i="10" l="1"/>
  <c r="AT14" i="10" a="1"/>
  <c r="AT14" i="10" l="1"/>
  <c r="AS14" i="10" a="1"/>
  <c r="AS14" i="10" l="1"/>
  <c r="AR14" i="10" a="1"/>
  <c r="AR14" i="10" l="1"/>
  <c r="AN14" i="10" a="1"/>
  <c r="AN14" i="10" l="1"/>
  <c r="AM14" i="10" a="1"/>
  <c r="AM14" i="10" l="1"/>
  <c r="AL14" i="10" a="1"/>
  <c r="AL14" i="10" l="1"/>
  <c r="AH14" i="10" a="1"/>
  <c r="AH14" i="10" l="1"/>
  <c r="AG14" i="10" a="1"/>
  <c r="AG14" i="10" l="1"/>
  <c r="AF14" i="10" a="1"/>
  <c r="Q14" i="10"/>
  <c r="P14" i="10"/>
  <c r="O14" i="10"/>
  <c r="N14" i="10"/>
  <c r="M14" i="10"/>
  <c r="G14" i="10"/>
  <c r="F14" i="10"/>
  <c r="E14" i="10"/>
  <c r="D14" i="10"/>
  <c r="C14" i="10"/>
  <c r="AF14" i="10" l="1"/>
  <c r="AT13" i="10" a="1"/>
  <c r="AT13" i="10" l="1"/>
  <c r="AS13" i="10" a="1"/>
  <c r="AS13" i="10" l="1"/>
  <c r="AR13" i="10" a="1"/>
  <c r="AR13" i="10" l="1"/>
  <c r="AN13" i="10" a="1"/>
  <c r="AN13" i="10" l="1"/>
  <c r="AM13" i="10" a="1"/>
  <c r="AM13" i="10" l="1"/>
  <c r="AL13" i="10" a="1"/>
  <c r="AL13" i="10" l="1"/>
  <c r="AH13" i="10" a="1"/>
  <c r="AH13" i="10" l="1"/>
  <c r="AG13" i="10" a="1"/>
  <c r="AG13" i="10" l="1"/>
  <c r="AF13" i="10" a="1"/>
  <c r="Q13" i="10"/>
  <c r="P13" i="10"/>
  <c r="O13" i="10"/>
  <c r="N13" i="10"/>
  <c r="M13" i="10"/>
  <c r="G13" i="10"/>
  <c r="F13" i="10"/>
  <c r="E13" i="10"/>
  <c r="D13" i="10"/>
  <c r="C13" i="10"/>
  <c r="AF13" i="10" l="1"/>
  <c r="AT12" i="10" a="1"/>
  <c r="AT12" i="10" l="1"/>
  <c r="AS12" i="10" a="1"/>
  <c r="AS12" i="10" l="1"/>
  <c r="AR12" i="10" a="1"/>
  <c r="AR12" i="10" l="1"/>
  <c r="AN12" i="10" a="1"/>
  <c r="AN12" i="10" l="1"/>
  <c r="AM12" i="10" a="1"/>
  <c r="AM12" i="10" l="1"/>
  <c r="AL12" i="10" a="1"/>
  <c r="AL12" i="10" l="1"/>
  <c r="AH12" i="10" a="1"/>
  <c r="AH12" i="10" l="1"/>
  <c r="AG12" i="10" a="1"/>
  <c r="AG12" i="10" l="1"/>
  <c r="AF12" i="10" a="1"/>
  <c r="Q12" i="10"/>
  <c r="P12" i="10"/>
  <c r="O12" i="10"/>
  <c r="N12" i="10"/>
  <c r="M12" i="10"/>
  <c r="G12" i="10"/>
  <c r="F12" i="10"/>
  <c r="E12" i="10"/>
  <c r="D12" i="10"/>
  <c r="C12" i="10"/>
  <c r="AF12" i="10" l="1"/>
  <c r="AT11" i="10" a="1"/>
  <c r="AT11" i="10" l="1"/>
  <c r="AS11" i="10" a="1"/>
  <c r="AS11" i="10" l="1"/>
  <c r="AR11" i="10" a="1"/>
  <c r="AR11" i="10" l="1"/>
  <c r="AN11" i="10" a="1"/>
  <c r="AN11" i="10" l="1"/>
  <c r="AM11" i="10" a="1"/>
  <c r="AM11" i="10" l="1"/>
  <c r="AL11" i="10" a="1"/>
  <c r="AL11" i="10" l="1"/>
  <c r="AH11" i="10" a="1"/>
  <c r="AH11" i="10" l="1"/>
  <c r="AG11" i="10" a="1"/>
  <c r="AG11" i="10" l="1"/>
  <c r="AF11" i="10" a="1"/>
  <c r="Q11" i="10"/>
  <c r="P11" i="10"/>
  <c r="O11" i="10"/>
  <c r="N11" i="10"/>
  <c r="M11" i="10"/>
  <c r="G11" i="10"/>
  <c r="F11" i="10"/>
  <c r="E11" i="10"/>
  <c r="D11" i="10"/>
  <c r="C11" i="10"/>
  <c r="AF11" i="10" l="1"/>
  <c r="AT10" i="10" a="1"/>
  <c r="AT10" i="10" l="1"/>
  <c r="AS10" i="10" a="1"/>
  <c r="AS10" i="10" l="1"/>
  <c r="AR10" i="10" a="1"/>
  <c r="AR10" i="10" l="1"/>
  <c r="AN10" i="10" a="1"/>
  <c r="AN10" i="10" l="1"/>
  <c r="AM10" i="10" a="1"/>
  <c r="AM10" i="10" l="1"/>
  <c r="AL10" i="10" a="1"/>
  <c r="AL10" i="10" l="1"/>
  <c r="AH10" i="10" a="1"/>
  <c r="AH10" i="10" l="1"/>
  <c r="AG10" i="10" a="1"/>
  <c r="AG10" i="10" l="1"/>
  <c r="AF10" i="10" a="1"/>
  <c r="Q10" i="10"/>
  <c r="P10" i="10"/>
  <c r="O10" i="10"/>
  <c r="N10" i="10"/>
  <c r="M10" i="10"/>
  <c r="G10" i="10"/>
  <c r="F10" i="10"/>
  <c r="E10" i="10"/>
  <c r="D10" i="10"/>
  <c r="C10" i="10"/>
  <c r="AF10" i="10" l="1"/>
  <c r="AT9" i="10" a="1"/>
  <c r="AT9" i="10" l="1"/>
  <c r="AS9" i="10" a="1"/>
  <c r="AS9" i="10" l="1"/>
  <c r="AR9" i="10" a="1"/>
  <c r="AR9" i="10" l="1"/>
  <c r="AN9" i="10" a="1"/>
  <c r="AN9" i="10" l="1"/>
  <c r="AM9" i="10" a="1"/>
  <c r="AM9" i="10" l="1"/>
  <c r="AL9" i="10" a="1"/>
  <c r="AL9" i="10" l="1"/>
  <c r="AH9" i="10" a="1"/>
  <c r="AH9" i="10" l="1"/>
  <c r="AG9" i="10" a="1"/>
  <c r="AG9" i="10" l="1"/>
  <c r="AF9" i="10" a="1"/>
  <c r="Q9" i="10"/>
  <c r="P9" i="10"/>
  <c r="O9" i="10"/>
  <c r="N9" i="10"/>
  <c r="M9" i="10"/>
  <c r="G9" i="10"/>
  <c r="F9" i="10"/>
  <c r="E9" i="10"/>
  <c r="D9" i="10"/>
  <c r="C9" i="10"/>
  <c r="AF9" i="10" l="1"/>
  <c r="AT8" i="10" a="1"/>
  <c r="AT8" i="10" l="1"/>
  <c r="AS8" i="10" a="1"/>
  <c r="AS8" i="10" l="1"/>
  <c r="AR8" i="10" a="1"/>
  <c r="AR8" i="10" l="1"/>
  <c r="AN8" i="10" a="1"/>
  <c r="AN8" i="10" l="1"/>
  <c r="AM8" i="10" a="1"/>
  <c r="AM8" i="10" l="1"/>
  <c r="AL8" i="10" a="1"/>
  <c r="AL8" i="10" l="1"/>
  <c r="AH8" i="10" a="1"/>
  <c r="AH8" i="10" l="1"/>
  <c r="AG8" i="10" a="1"/>
  <c r="AG8" i="10" l="1"/>
  <c r="AF8" i="10" a="1"/>
  <c r="Q8" i="10"/>
  <c r="P8" i="10"/>
  <c r="O8" i="10"/>
  <c r="N8" i="10"/>
  <c r="M8" i="10"/>
  <c r="G8" i="10"/>
  <c r="F8" i="10"/>
  <c r="E8" i="10"/>
  <c r="D8" i="10"/>
  <c r="C8" i="10"/>
  <c r="AF8" i="10" l="1"/>
  <c r="AT7" i="10" a="1"/>
  <c r="AT7" i="10" l="1"/>
  <c r="AS7" i="10" a="1"/>
  <c r="AS7" i="10" l="1"/>
  <c r="AR7" i="10" a="1"/>
  <c r="AR7" i="10" l="1"/>
  <c r="AN7" i="10" a="1"/>
  <c r="AN7" i="10" l="1"/>
  <c r="AM7" i="10" a="1"/>
  <c r="AM7" i="10" l="1"/>
  <c r="AL7" i="10" a="1"/>
  <c r="AL7" i="10" l="1"/>
  <c r="AH7" i="10" a="1"/>
  <c r="AH7" i="10" l="1"/>
  <c r="AG7" i="10" a="1"/>
  <c r="AG7" i="10" l="1"/>
  <c r="AF7" i="10" a="1"/>
  <c r="Q7" i="10"/>
  <c r="P7" i="10"/>
  <c r="O7" i="10"/>
  <c r="N7" i="10"/>
  <c r="M7" i="10"/>
  <c r="G7" i="10"/>
  <c r="F7" i="10"/>
  <c r="E7" i="10"/>
  <c r="D7" i="10"/>
  <c r="C7" i="10"/>
  <c r="AF7" i="10" l="1"/>
  <c r="AT6" i="10" a="1"/>
  <c r="AT6" i="10" l="1"/>
  <c r="AS6" i="10" a="1"/>
  <c r="AS6" i="10" l="1"/>
  <c r="AR6" i="10" a="1"/>
  <c r="AR6" i="10" l="1"/>
  <c r="AN6" i="10" a="1"/>
  <c r="AN6" i="10" l="1"/>
  <c r="AM6" i="10" a="1"/>
  <c r="AM6" i="10" l="1"/>
  <c r="AL6" i="10" a="1"/>
  <c r="AL6" i="10" l="1"/>
  <c r="AH6" i="10" a="1"/>
  <c r="AH6" i="10" l="1"/>
  <c r="AG6" i="10" a="1"/>
  <c r="AG6" i="10" l="1"/>
  <c r="AF6" i="10" a="1"/>
  <c r="Q6" i="10"/>
  <c r="P6" i="10"/>
  <c r="O6" i="10"/>
  <c r="N6" i="10"/>
  <c r="M6" i="10"/>
  <c r="G6" i="10"/>
  <c r="F6" i="10"/>
  <c r="E6" i="10"/>
  <c r="D6" i="10"/>
  <c r="C6" i="10"/>
  <c r="AF6" i="10" l="1"/>
  <c r="AT5" i="10" a="1"/>
  <c r="AT5" i="10" l="1"/>
  <c r="AS5" i="10" a="1"/>
  <c r="AS5" i="10" l="1"/>
  <c r="AR5" i="10" a="1"/>
  <c r="AR5" i="10" l="1"/>
  <c r="AN5" i="10" a="1"/>
  <c r="AN5" i="10" l="1"/>
  <c r="AM5" i="10" a="1"/>
  <c r="AM5" i="10" l="1"/>
  <c r="AL5" i="10" a="1"/>
  <c r="AL5" i="10" l="1"/>
  <c r="AH5" i="10" a="1"/>
  <c r="AH5" i="10" l="1"/>
  <c r="AG5" i="10" a="1"/>
  <c r="AG5" i="10" l="1"/>
  <c r="AF5" i="10" a="1"/>
  <c r="Q5" i="10"/>
  <c r="P5" i="10"/>
  <c r="O5" i="10"/>
  <c r="N5" i="10"/>
  <c r="M5" i="10"/>
  <c r="G5" i="10"/>
  <c r="F5" i="10"/>
  <c r="E5" i="10"/>
  <c r="D5" i="10"/>
  <c r="C5" i="10"/>
  <c r="AF5" i="10" l="1"/>
  <c r="AT4" i="10" a="1"/>
  <c r="AT4" i="10" l="1"/>
  <c r="AS4" i="10" a="1"/>
  <c r="AS4" i="10" l="1"/>
  <c r="AR4" i="10" a="1"/>
  <c r="AR4" i="10" l="1"/>
  <c r="AN4" i="10" a="1"/>
  <c r="AN4" i="10" l="1"/>
  <c r="AM4" i="10" a="1"/>
  <c r="AM4" i="10" l="1"/>
  <c r="AL4" i="10" a="1"/>
  <c r="AL4" i="10" l="1"/>
  <c r="AH4" i="10" a="1"/>
  <c r="AH4" i="10" l="1"/>
  <c r="AG4" i="10" a="1"/>
  <c r="AG4" i="10" l="1"/>
  <c r="AF4" i="10" a="1"/>
  <c r="Q4" i="10"/>
  <c r="P4" i="10"/>
  <c r="O4" i="10"/>
  <c r="N4" i="10"/>
  <c r="M4" i="10"/>
  <c r="G4" i="10"/>
  <c r="F4" i="10"/>
  <c r="E4" i="10"/>
  <c r="D4" i="10"/>
  <c r="C4" i="10"/>
  <c r="C29" i="10" l="1"/>
  <c r="C28" i="10"/>
  <c r="D29" i="10"/>
  <c r="D28" i="10"/>
  <c r="E29" i="10"/>
  <c r="E28" i="10"/>
  <c r="F29" i="10"/>
  <c r="F28" i="10"/>
  <c r="G29" i="10"/>
  <c r="G28" i="10"/>
  <c r="M29" i="10"/>
  <c r="M28" i="10"/>
  <c r="F48" i="10"/>
  <c r="N29" i="10"/>
  <c r="N28" i="10"/>
  <c r="G48" i="10"/>
  <c r="O29" i="10"/>
  <c r="O28" i="10"/>
  <c r="H48" i="10"/>
  <c r="P29" i="10"/>
  <c r="P28" i="10"/>
  <c r="I48" i="10"/>
  <c r="Q29" i="10"/>
  <c r="Q28" i="10"/>
  <c r="AF4" i="10"/>
  <c r="AT3" i="10" a="1"/>
  <c r="AT3" i="10" l="1"/>
  <c r="AS3" i="10" a="1"/>
  <c r="AS3" i="10" l="1"/>
  <c r="AR3" i="10" a="1"/>
  <c r="AR3" i="10" l="1"/>
  <c r="AN3" i="10" a="1"/>
  <c r="AN3" i="10" l="1"/>
  <c r="AM3" i="10" a="1"/>
  <c r="AM3" i="10" l="1"/>
  <c r="AL3" i="10" a="1"/>
  <c r="AL3" i="10" l="1"/>
  <c r="AH3" i="10" a="1"/>
  <c r="AH3" i="10" l="1"/>
  <c r="AG3" i="10" a="1"/>
  <c r="AG3" i="10" l="1"/>
  <c r="AF3" i="10" a="1"/>
  <c r="AF3" i="10" l="1"/>
  <c r="AT2" i="10" a="1"/>
  <c r="AT2" i="10" l="1"/>
  <c r="AS2" i="10" a="1"/>
  <c r="AS2" i="10" l="1"/>
  <c r="AR2" i="10" a="1"/>
  <c r="AR2" i="10" l="1"/>
  <c r="AN2" i="10" a="1"/>
  <c r="AN2" i="10" l="1"/>
  <c r="AM2" i="10" a="1"/>
  <c r="AM2" i="10" l="1"/>
  <c r="AL2" i="10" a="1"/>
  <c r="AL2" i="10" l="1"/>
  <c r="AH2" i="10" a="1"/>
  <c r="AH2" i="10" l="1"/>
  <c r="AG2" i="10" a="1"/>
  <c r="AG2" i="10" l="1"/>
  <c r="AF2" i="10" a="1"/>
  <c r="U31" i="11"/>
  <c r="S31" i="11"/>
  <c r="R31" i="11"/>
  <c r="Q31" i="11"/>
  <c r="P31" i="11"/>
  <c r="O31" i="11"/>
  <c r="N31" i="11"/>
  <c r="J31" i="11"/>
  <c r="K31" i="11"/>
  <c r="AF2" i="10" l="1"/>
  <c r="M31" i="11"/>
  <c r="G31" i="11"/>
  <c r="U30" i="11"/>
  <c r="S30" i="11"/>
  <c r="R30" i="11"/>
  <c r="Q30" i="11"/>
  <c r="P30" i="11"/>
  <c r="O30" i="11"/>
  <c r="N30" i="11"/>
  <c r="J30" i="11"/>
  <c r="K30" i="11"/>
  <c r="M30" i="11" l="1"/>
  <c r="G30" i="11"/>
  <c r="U29" i="11"/>
  <c r="S29" i="11"/>
  <c r="R29" i="11"/>
  <c r="Q29" i="11"/>
  <c r="P29" i="11"/>
  <c r="O29" i="11"/>
  <c r="N29" i="11"/>
  <c r="J29" i="11"/>
  <c r="K29" i="11"/>
  <c r="M29" i="11" l="1"/>
  <c r="G29" i="11"/>
  <c r="U28" i="11"/>
  <c r="S28" i="11"/>
  <c r="R28" i="11"/>
  <c r="Q28" i="11"/>
  <c r="P28" i="11"/>
  <c r="O28" i="11"/>
  <c r="N28" i="11"/>
  <c r="J28" i="11"/>
  <c r="K28" i="11"/>
  <c r="M28" i="11" l="1"/>
  <c r="G28" i="11"/>
  <c r="U27" i="11"/>
  <c r="S27" i="11"/>
  <c r="R27" i="11"/>
  <c r="Q27" i="11"/>
  <c r="P27" i="11"/>
  <c r="O27" i="11"/>
  <c r="N27" i="11"/>
  <c r="J27" i="11"/>
  <c r="K27" i="11"/>
  <c r="M27" i="11" l="1"/>
  <c r="G27" i="11"/>
  <c r="U24" i="11"/>
  <c r="S24" i="11"/>
  <c r="R24" i="11"/>
  <c r="Q24" i="11"/>
  <c r="P24" i="11"/>
  <c r="O24" i="11"/>
  <c r="N24" i="11"/>
  <c r="J24" i="11"/>
  <c r="K24" i="11"/>
  <c r="M24" i="11" l="1"/>
  <c r="U23" i="11"/>
  <c r="S23" i="11"/>
  <c r="R23" i="11"/>
  <c r="Q23" i="11"/>
  <c r="P23" i="11"/>
  <c r="O23" i="11"/>
  <c r="N23" i="11"/>
  <c r="J23" i="11"/>
  <c r="K23" i="11"/>
  <c r="M23" i="11" l="1"/>
  <c r="U22" i="11"/>
  <c r="S22" i="11"/>
  <c r="R22" i="11"/>
  <c r="Q22" i="11"/>
  <c r="P22" i="11"/>
  <c r="O22" i="11"/>
  <c r="N22" i="11"/>
  <c r="J22" i="11"/>
  <c r="K22" i="11"/>
  <c r="M22" i="11" l="1"/>
  <c r="U21" i="11"/>
  <c r="S21" i="11"/>
  <c r="R21" i="11"/>
  <c r="Q21" i="11"/>
  <c r="P21" i="11"/>
  <c r="O21" i="11"/>
  <c r="N21" i="11"/>
  <c r="J21" i="11"/>
  <c r="K21" i="11"/>
  <c r="M21" i="11" l="1"/>
  <c r="G21" i="11"/>
  <c r="U20" i="11"/>
  <c r="S20" i="11"/>
  <c r="R20" i="11"/>
  <c r="Q20" i="11"/>
  <c r="P20" i="11"/>
  <c r="O20" i="11"/>
  <c r="N20" i="11"/>
  <c r="J20" i="11"/>
  <c r="K20" i="11"/>
  <c r="M20" i="11" l="1"/>
  <c r="G20" i="11"/>
  <c r="U19" i="11"/>
  <c r="S19" i="11"/>
  <c r="R19" i="11"/>
  <c r="Q19" i="11"/>
  <c r="P19" i="11"/>
  <c r="O19" i="11"/>
  <c r="N19" i="11"/>
  <c r="J19" i="11"/>
  <c r="K19" i="11"/>
  <c r="M19" i="11" l="1"/>
  <c r="G19" i="11"/>
  <c r="U18" i="11"/>
  <c r="S18" i="11"/>
  <c r="R18" i="11"/>
  <c r="Q18" i="11"/>
  <c r="P18" i="11"/>
  <c r="O18" i="11"/>
  <c r="N18" i="11"/>
  <c r="J18" i="11"/>
  <c r="K18" i="11"/>
  <c r="M18" i="11" l="1"/>
  <c r="G18" i="11"/>
  <c r="U14" i="11"/>
  <c r="T14" i="11"/>
  <c r="S14" i="11"/>
  <c r="R14" i="11"/>
  <c r="Q14" i="11"/>
  <c r="P14" i="11"/>
  <c r="O14" i="11"/>
  <c r="N14" i="11"/>
  <c r="J14" i="11"/>
  <c r="M14" i="11" l="1"/>
  <c r="U13" i="11"/>
  <c r="T13" i="11"/>
  <c r="S13" i="11"/>
  <c r="R13" i="11"/>
  <c r="Q13" i="11"/>
  <c r="P13" i="11"/>
  <c r="O13" i="11"/>
  <c r="N13" i="11"/>
  <c r="J13" i="11"/>
  <c r="M13" i="11" l="1"/>
  <c r="G13" i="11"/>
  <c r="U12" i="11"/>
  <c r="T12" i="11"/>
  <c r="S12" i="11"/>
  <c r="R12" i="11"/>
  <c r="Q12" i="11"/>
  <c r="P12" i="11"/>
  <c r="O12" i="11"/>
  <c r="N12" i="11"/>
  <c r="J12" i="11"/>
  <c r="M12" i="11" l="1"/>
  <c r="U11" i="11"/>
  <c r="T11" i="11"/>
  <c r="S11" i="11"/>
  <c r="R11" i="11"/>
  <c r="Q11" i="11"/>
  <c r="P11" i="11"/>
  <c r="O11" i="11"/>
  <c r="N11" i="11"/>
  <c r="J11" i="11"/>
  <c r="M11" i="11" l="1"/>
  <c r="U10" i="11"/>
  <c r="T10" i="11"/>
  <c r="S10" i="11"/>
  <c r="R10" i="11"/>
  <c r="Q10" i="11"/>
  <c r="P10" i="11"/>
  <c r="O10" i="11"/>
  <c r="N10" i="11"/>
  <c r="J10" i="11"/>
  <c r="M10" i="11" l="1"/>
  <c r="G10" i="11"/>
  <c r="U9" i="11"/>
  <c r="T9" i="11"/>
  <c r="S9" i="11"/>
  <c r="R9" i="11"/>
  <c r="Q9" i="11"/>
  <c r="P9" i="11"/>
  <c r="O9" i="11"/>
  <c r="N9" i="11"/>
  <c r="J9" i="11"/>
  <c r="M9" i="11" l="1"/>
  <c r="G9" i="11"/>
  <c r="U8" i="11"/>
  <c r="T8" i="11"/>
  <c r="S8" i="11"/>
  <c r="R8" i="11"/>
  <c r="Q8" i="11"/>
  <c r="P8" i="11"/>
  <c r="O8" i="11"/>
  <c r="N8" i="11"/>
  <c r="J8" i="11"/>
  <c r="M8" i="11" l="1"/>
  <c r="G8" i="11"/>
  <c r="U7" i="11"/>
  <c r="T7" i="11"/>
  <c r="S7" i="11"/>
  <c r="R7" i="11"/>
  <c r="Q7" i="11"/>
  <c r="P7" i="11"/>
  <c r="O7" i="11"/>
  <c r="N7" i="11"/>
  <c r="J7" i="11"/>
  <c r="M7" i="11" l="1"/>
  <c r="G7" i="11"/>
  <c r="U6" i="11"/>
  <c r="T6" i="11"/>
  <c r="S6" i="11"/>
  <c r="R6" i="11"/>
  <c r="Q6" i="11"/>
  <c r="P6" i="11"/>
  <c r="O6" i="11"/>
  <c r="N6" i="11"/>
  <c r="U5" i="11"/>
  <c r="T5" i="11"/>
  <c r="S5" i="11"/>
  <c r="R5" i="11"/>
  <c r="Q5" i="11"/>
  <c r="P5" i="11"/>
  <c r="O5" i="11"/>
  <c r="N5" i="11"/>
  <c r="AC31" i="11" l="1"/>
  <c r="AC30" i="11"/>
  <c r="AC29" i="11"/>
  <c r="AC27" i="11"/>
  <c r="AC28" i="11"/>
  <c r="AC25" i="11"/>
  <c r="AC24" i="11"/>
  <c r="AC23" i="11"/>
  <c r="AC22" i="11"/>
  <c r="AC21" i="11"/>
  <c r="AC20" i="11"/>
  <c r="AC18" i="11"/>
  <c r="AC19" i="11"/>
  <c r="AC14" i="11"/>
  <c r="AC13" i="11"/>
  <c r="AC12" i="11"/>
  <c r="AC11" i="11"/>
  <c r="AC10" i="11"/>
  <c r="AC9" i="11"/>
  <c r="AC8" i="11"/>
  <c r="AD31" i="11"/>
  <c r="AD30" i="11"/>
  <c r="AD29" i="11"/>
  <c r="AD27" i="11"/>
  <c r="AD28" i="11"/>
  <c r="AD25" i="11"/>
  <c r="AD24" i="11"/>
  <c r="AD23" i="11"/>
  <c r="AD22" i="11"/>
  <c r="AD21" i="11"/>
  <c r="AD20" i="11"/>
  <c r="AD18" i="11"/>
  <c r="AD19" i="11"/>
  <c r="AD14" i="11"/>
  <c r="AD13" i="11"/>
  <c r="AD12" i="11"/>
  <c r="AD11" i="11"/>
  <c r="AD10" i="11"/>
  <c r="AD9" i="11"/>
  <c r="AD8" i="11"/>
  <c r="AE31" i="11"/>
  <c r="AE30" i="11"/>
  <c r="AE29" i="11"/>
  <c r="AE27" i="11"/>
  <c r="AE28" i="11"/>
  <c r="AE25" i="11"/>
  <c r="AE24" i="11"/>
  <c r="AE23" i="11"/>
  <c r="AE22" i="11"/>
  <c r="AE21" i="11"/>
  <c r="AE20" i="11"/>
  <c r="AE18" i="11"/>
  <c r="AE19" i="11"/>
  <c r="AE14" i="11"/>
  <c r="AE13" i="11"/>
  <c r="AE12" i="11"/>
  <c r="AE11" i="11"/>
  <c r="AE10" i="11"/>
  <c r="AE9" i="11"/>
  <c r="AE8" i="11"/>
  <c r="AF31" i="11"/>
  <c r="AF30" i="11"/>
  <c r="AF29" i="11"/>
  <c r="AF27" i="11"/>
  <c r="AF28" i="11"/>
  <c r="AF25" i="11"/>
  <c r="AF24" i="11"/>
  <c r="AF23" i="11"/>
  <c r="AF22" i="11"/>
  <c r="AF21" i="11"/>
  <c r="AF20" i="11"/>
  <c r="AF18" i="11"/>
  <c r="AF19" i="11"/>
  <c r="AF14" i="11"/>
  <c r="AF13" i="11"/>
  <c r="AF12" i="11"/>
  <c r="AF11" i="11"/>
  <c r="AF10" i="11"/>
  <c r="AF9" i="11"/>
  <c r="AF8" i="11"/>
  <c r="AG31" i="11"/>
  <c r="AG30" i="11"/>
  <c r="AG29" i="11"/>
  <c r="AG27" i="11"/>
  <c r="AG28" i="11"/>
  <c r="AG25" i="11"/>
  <c r="AG24" i="11"/>
  <c r="AG23" i="11"/>
  <c r="AG22" i="11"/>
  <c r="AG21" i="11"/>
  <c r="AG20" i="11"/>
  <c r="AG18" i="11"/>
  <c r="AG19" i="11"/>
  <c r="AG14" i="11"/>
  <c r="AG13" i="11"/>
  <c r="AG12" i="11"/>
  <c r="AG11" i="11"/>
  <c r="AG10" i="11"/>
  <c r="AG9" i="11"/>
  <c r="AG8" i="11"/>
  <c r="AH31" i="11"/>
  <c r="AH30" i="11"/>
  <c r="AH29" i="11"/>
  <c r="AH27" i="11"/>
  <c r="AH28" i="11"/>
  <c r="AH25" i="11"/>
  <c r="AH24" i="11"/>
  <c r="AH23" i="11"/>
  <c r="AH22" i="11"/>
  <c r="AH21" i="11"/>
  <c r="AH20" i="11"/>
  <c r="AH18" i="11"/>
  <c r="AH19" i="11"/>
  <c r="AH14" i="11"/>
  <c r="AH13" i="11"/>
  <c r="AH12" i="11"/>
  <c r="AH11" i="11"/>
  <c r="AH10" i="11"/>
  <c r="AH9" i="11"/>
  <c r="AH8" i="11"/>
  <c r="AI31" i="11"/>
  <c r="AI30" i="11"/>
  <c r="AI29" i="11"/>
  <c r="AI28" i="11"/>
  <c r="AI27" i="11"/>
  <c r="AI25" i="11"/>
  <c r="AI24" i="11"/>
  <c r="AI23" i="11"/>
  <c r="AI22" i="11"/>
  <c r="AI21" i="11"/>
  <c r="AI20" i="11"/>
  <c r="AI19" i="11"/>
  <c r="AI18" i="11"/>
  <c r="AI14" i="11"/>
  <c r="AI13" i="11"/>
  <c r="AI12" i="11"/>
  <c r="AI11" i="11"/>
  <c r="AI10" i="11"/>
  <c r="AI9" i="11"/>
  <c r="AI8" i="11"/>
  <c r="AC7" i="11"/>
  <c r="AG7" i="11"/>
  <c r="AD7" i="11"/>
  <c r="AH7" i="11"/>
  <c r="AE7" i="11"/>
  <c r="AI7" i="11"/>
  <c r="AF7" i="11"/>
  <c r="J5" i="11"/>
  <c r="Z10" i="1"/>
  <c r="W10" i="1"/>
  <c r="T10" i="1"/>
  <c r="Q10" i="1"/>
  <c r="N10" i="1"/>
  <c r="K10" i="1"/>
  <c r="H10" i="1"/>
  <c r="E10" i="1"/>
  <c r="B10" i="1"/>
  <c r="Z9" i="1"/>
  <c r="W9" i="1"/>
  <c r="T9" i="1"/>
  <c r="Q9" i="1"/>
  <c r="N9" i="1"/>
  <c r="K9" i="1"/>
  <c r="H9" i="1"/>
  <c r="E9" i="1"/>
  <c r="B9" i="1"/>
  <c r="Z8" i="1"/>
  <c r="W8" i="1"/>
  <c r="T8" i="1"/>
  <c r="Q8" i="1"/>
  <c r="N8" i="1"/>
  <c r="K8" i="1"/>
  <c r="H8" i="1"/>
  <c r="E8" i="1"/>
  <c r="B8" i="1"/>
  <c r="Z7" i="1"/>
  <c r="W7" i="1"/>
  <c r="T7" i="1"/>
  <c r="Q7" i="1"/>
  <c r="N7" i="1"/>
  <c r="K7" i="1"/>
  <c r="H7" i="1"/>
  <c r="E7" i="1"/>
  <c r="B7" i="1"/>
  <c r="Z6" i="1"/>
  <c r="W6" i="1"/>
  <c r="T6" i="1"/>
  <c r="Q6" i="1"/>
  <c r="N6" i="1"/>
  <c r="K6" i="1"/>
  <c r="H6" i="1"/>
  <c r="K14" i="11" l="1"/>
  <c r="K13" i="11"/>
  <c r="K12" i="11"/>
  <c r="K11" i="11"/>
  <c r="K10" i="11"/>
  <c r="K9" i="11"/>
  <c r="K8" i="11"/>
  <c r="K7" i="11"/>
  <c r="M5" i="11"/>
  <c r="K5" i="11"/>
  <c r="H9" i="11"/>
  <c r="H20" i="11"/>
  <c r="H24" i="11"/>
  <c r="H14" i="11"/>
  <c r="H30" i="11"/>
  <c r="H8" i="11"/>
  <c r="H12" i="11"/>
  <c r="H18" i="11"/>
  <c r="H23" i="11"/>
  <c r="H27" i="11"/>
  <c r="H13" i="11"/>
  <c r="H29" i="11"/>
  <c r="H10" i="11"/>
  <c r="H21" i="11"/>
  <c r="H7" i="11"/>
  <c r="H11" i="11"/>
  <c r="H19" i="11"/>
  <c r="H22" i="11"/>
  <c r="H28" i="11"/>
  <c r="H31" i="11"/>
  <c r="H25" i="1"/>
  <c r="K25" i="1"/>
  <c r="N25" i="1"/>
  <c r="Q25" i="1"/>
  <c r="T25" i="1"/>
  <c r="W25" i="1"/>
  <c r="Z25" i="1"/>
  <c r="B26" i="1"/>
  <c r="E26" i="1"/>
  <c r="H26" i="1"/>
  <c r="K26" i="1"/>
  <c r="N26" i="1"/>
  <c r="Q26" i="1"/>
  <c r="T26" i="1"/>
  <c r="W26" i="1"/>
  <c r="Z26" i="1"/>
  <c r="B27" i="1"/>
  <c r="E27" i="1"/>
  <c r="H27" i="1"/>
  <c r="K27" i="1"/>
  <c r="N27" i="1"/>
  <c r="Q27" i="1"/>
  <c r="T27" i="1"/>
  <c r="W27" i="1"/>
  <c r="Z27" i="1"/>
  <c r="B28" i="1"/>
  <c r="E28" i="1"/>
  <c r="H28" i="1"/>
  <c r="K28" i="1"/>
  <c r="N28" i="1"/>
  <c r="Q28" i="1"/>
  <c r="T28" i="1"/>
  <c r="W28" i="1"/>
  <c r="Z28" i="1"/>
  <c r="B6" i="1"/>
  <c r="Z5" i="1"/>
  <c r="W5" i="1"/>
  <c r="T5" i="1"/>
  <c r="Q5" i="1"/>
  <c r="N5" i="1"/>
  <c r="K5" i="1"/>
  <c r="H5" i="1"/>
  <c r="E5" i="1"/>
  <c r="B5" i="1"/>
  <c r="Z4" i="1"/>
  <c r="W4" i="1"/>
  <c r="T4" i="1"/>
  <c r="Q4" i="1"/>
  <c r="N4" i="1"/>
  <c r="K4" i="1"/>
  <c r="H4" i="1"/>
  <c r="E4" i="1"/>
  <c r="B4" i="1"/>
  <c r="Z3" i="1"/>
  <c r="W3" i="1"/>
  <c r="T3" i="1"/>
  <c r="Q3" i="1"/>
  <c r="N3" i="1"/>
  <c r="K3" i="1"/>
  <c r="H3" i="1"/>
  <c r="E3" i="1"/>
  <c r="B3" i="1"/>
  <c r="Z2" i="1"/>
  <c r="W2" i="1"/>
  <c r="T2" i="1"/>
  <c r="Q2" i="1"/>
  <c r="N2" i="1"/>
  <c r="K2" i="1"/>
  <c r="H2" i="1"/>
  <c r="E2" i="1"/>
  <c r="B2" i="1"/>
  <c r="B17" i="1" l="1"/>
  <c r="B35" i="1" s="1"/>
  <c r="B19" i="1"/>
  <c r="B37" i="1" s="1"/>
  <c r="B16" i="1"/>
  <c r="B18" i="1"/>
  <c r="B36" i="1" s="1"/>
  <c r="E16" i="1"/>
  <c r="E18" i="1"/>
  <c r="E36" i="1" s="1"/>
  <c r="E19" i="1"/>
  <c r="E37" i="1" s="1"/>
  <c r="E17" i="1"/>
  <c r="E35" i="1" s="1"/>
  <c r="H17" i="1"/>
  <c r="H35" i="1" s="1"/>
  <c r="H19" i="1"/>
  <c r="H37" i="1" s="1"/>
  <c r="H15" i="1"/>
  <c r="H18" i="1"/>
  <c r="H36" i="1" s="1"/>
  <c r="H16" i="1"/>
  <c r="H34" i="1" s="1"/>
  <c r="K16" i="1"/>
  <c r="K34" i="1" s="1"/>
  <c r="K18" i="1"/>
  <c r="K36" i="1" s="1"/>
  <c r="K15" i="1"/>
  <c r="K17" i="1"/>
  <c r="K35" i="1" s="1"/>
  <c r="K19" i="1"/>
  <c r="K37" i="1" s="1"/>
  <c r="N15" i="1"/>
  <c r="N17" i="1"/>
  <c r="N35" i="1" s="1"/>
  <c r="N19" i="1"/>
  <c r="N37" i="1" s="1"/>
  <c r="N16" i="1"/>
  <c r="N34" i="1" s="1"/>
  <c r="N18" i="1"/>
  <c r="N36" i="1" s="1"/>
  <c r="Q16" i="1"/>
  <c r="Q34" i="1" s="1"/>
  <c r="Q18" i="1"/>
  <c r="Q36" i="1" s="1"/>
  <c r="Q15" i="1"/>
  <c r="Q19" i="1"/>
  <c r="Q37" i="1" s="1"/>
  <c r="Q17" i="1"/>
  <c r="Q35" i="1" s="1"/>
  <c r="T15" i="1"/>
  <c r="T17" i="1"/>
  <c r="T35" i="1" s="1"/>
  <c r="T19" i="1"/>
  <c r="T37" i="1" s="1"/>
  <c r="T16" i="1"/>
  <c r="T34" i="1" s="1"/>
  <c r="T18" i="1"/>
  <c r="T36" i="1" s="1"/>
  <c r="W16" i="1"/>
  <c r="W34" i="1" s="1"/>
  <c r="W43" i="1" s="1"/>
  <c r="W18" i="1"/>
  <c r="W36" i="1" s="1"/>
  <c r="W45" i="1" s="1"/>
  <c r="W19" i="1"/>
  <c r="W37" i="1" s="1"/>
  <c r="W46" i="1" s="1"/>
  <c r="W15" i="1"/>
  <c r="W17" i="1"/>
  <c r="W35" i="1" s="1"/>
  <c r="W44" i="1" s="1"/>
  <c r="Z15" i="1"/>
  <c r="Z17" i="1"/>
  <c r="Z35" i="1" s="1"/>
  <c r="Z19" i="1"/>
  <c r="Z37" i="1" s="1"/>
  <c r="Z16" i="1"/>
  <c r="Z34" i="1" s="1"/>
  <c r="Z18" i="1"/>
  <c r="Z36" i="1" s="1"/>
  <c r="B22" i="1"/>
  <c r="B13" i="1"/>
  <c r="E13" i="1"/>
  <c r="E22" i="1"/>
  <c r="H13" i="1"/>
  <c r="H22" i="1"/>
  <c r="K13" i="1"/>
  <c r="K22" i="1"/>
  <c r="N22" i="1"/>
  <c r="N13" i="1"/>
  <c r="Q22" i="1"/>
  <c r="Q13" i="1"/>
  <c r="Q31" i="1" s="1"/>
  <c r="T22" i="1"/>
  <c r="T13" i="1"/>
  <c r="W13" i="1"/>
  <c r="W22" i="1"/>
  <c r="Z22" i="1"/>
  <c r="Z13" i="1"/>
  <c r="B14" i="1"/>
  <c r="B23" i="1"/>
  <c r="E14" i="1"/>
  <c r="E23" i="1"/>
  <c r="E6" i="1"/>
  <c r="H14" i="1"/>
  <c r="H23" i="1"/>
  <c r="H24" i="1"/>
  <c r="K23" i="1"/>
  <c r="K14" i="1"/>
  <c r="K32" i="1" s="1"/>
  <c r="K24" i="1"/>
  <c r="N23" i="1"/>
  <c r="N14" i="1"/>
  <c r="N32" i="1" s="1"/>
  <c r="N24" i="1"/>
  <c r="Q14" i="1"/>
  <c r="Q23" i="1"/>
  <c r="Q24" i="1"/>
  <c r="T14" i="1"/>
  <c r="T23" i="1"/>
  <c r="T24" i="1"/>
  <c r="W23" i="1"/>
  <c r="W14" i="1"/>
  <c r="W24" i="1"/>
  <c r="Z14" i="1"/>
  <c r="Z23" i="1"/>
  <c r="Z24" i="1"/>
  <c r="B15" i="1"/>
  <c r="B24" i="1"/>
  <c r="B25" i="1"/>
  <c r="S14" i="5"/>
  <c r="O8" i="5"/>
  <c r="BA5" i="5"/>
  <c r="AZ5" i="5"/>
  <c r="AY5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O4" i="5"/>
  <c r="K27" i="5" s="1"/>
  <c r="AN4" i="5"/>
  <c r="K29" i="5" s="1"/>
  <c r="BA3" i="5"/>
  <c r="W8" i="5" s="1"/>
  <c r="AZ3" i="5"/>
  <c r="W14" i="5" s="1"/>
  <c r="AY3" i="5"/>
  <c r="U8" i="5" s="1"/>
  <c r="AX3" i="5"/>
  <c r="U14" i="5" s="1"/>
  <c r="AW3" i="5"/>
  <c r="S8" i="5" s="1"/>
  <c r="AV3" i="5"/>
  <c r="AU3" i="5"/>
  <c r="Q8" i="5" s="1"/>
  <c r="AT3" i="5"/>
  <c r="Q14" i="5" s="1"/>
  <c r="AS3" i="5"/>
  <c r="AR3" i="5"/>
  <c r="O14" i="5" s="1"/>
  <c r="AQ3" i="5"/>
  <c r="M8" i="5" s="1"/>
  <c r="AP3" i="5"/>
  <c r="M14" i="5" s="1"/>
  <c r="AO3" i="5"/>
  <c r="K8" i="5" s="1"/>
  <c r="AN3" i="5"/>
  <c r="K14" i="5" s="1"/>
  <c r="AM3" i="5"/>
  <c r="I8" i="5" s="1"/>
  <c r="AL3" i="5"/>
  <c r="I14" i="5" s="1"/>
  <c r="AK3" i="5"/>
  <c r="G8" i="5" s="1"/>
  <c r="AJ3" i="5"/>
  <c r="G14" i="5" s="1"/>
  <c r="AI3" i="5"/>
  <c r="E8" i="5" s="1"/>
  <c r="AH3" i="5"/>
  <c r="E14" i="5" s="1"/>
  <c r="AZ1" i="5"/>
  <c r="AX1" i="5"/>
  <c r="AV1" i="5"/>
  <c r="AT1" i="5"/>
  <c r="AR1" i="5"/>
  <c r="AP1" i="5"/>
  <c r="AN1" i="5"/>
  <c r="AL1" i="5"/>
  <c r="AJ1" i="5"/>
  <c r="AH1" i="5"/>
  <c r="AZ9" i="5"/>
  <c r="AV9" i="5"/>
  <c r="AR9" i="5"/>
  <c r="AN9" i="5"/>
  <c r="AJ9" i="5"/>
  <c r="AY9" i="5"/>
  <c r="AU9" i="5"/>
  <c r="AQ9" i="5"/>
  <c r="AM9" i="5"/>
  <c r="AI9" i="5"/>
  <c r="AX9" i="5"/>
  <c r="AT9" i="5"/>
  <c r="AP9" i="5"/>
  <c r="AL9" i="5"/>
  <c r="AH9" i="5"/>
  <c r="BA9" i="5"/>
  <c r="AW9" i="5"/>
  <c r="AS9" i="5"/>
  <c r="AO9" i="5"/>
  <c r="AK9" i="5"/>
  <c r="P54" i="8"/>
  <c r="O54" i="8"/>
  <c r="N54" i="8"/>
  <c r="M54" i="8"/>
  <c r="Q32" i="1" l="1"/>
  <c r="E32" i="1"/>
  <c r="B33" i="1"/>
  <c r="B42" i="1" s="1"/>
  <c r="H31" i="1"/>
  <c r="H40" i="1" s="1"/>
  <c r="W32" i="1"/>
  <c r="W41" i="1" s="1"/>
  <c r="T32" i="1"/>
  <c r="T41" i="1" s="1"/>
  <c r="H32" i="1"/>
  <c r="H41" i="1" s="1"/>
  <c r="H33" i="1"/>
  <c r="B34" i="1"/>
  <c r="B43" i="1" s="1"/>
  <c r="Q40" i="1"/>
  <c r="W51" i="1"/>
  <c r="Q46" i="1"/>
  <c r="N33" i="1"/>
  <c r="W31" i="1"/>
  <c r="W40" i="1" s="1"/>
  <c r="W54" i="1" s="1"/>
  <c r="E31" i="1"/>
  <c r="Z43" i="1"/>
  <c r="Q41" i="1"/>
  <c r="E41" i="1"/>
  <c r="Z44" i="1"/>
  <c r="W56" i="1"/>
  <c r="W52" i="1"/>
  <c r="T43" i="1"/>
  <c r="Q44" i="1"/>
  <c r="Q43" i="1"/>
  <c r="N44" i="1"/>
  <c r="K33" i="1"/>
  <c r="H45" i="1"/>
  <c r="E44" i="1"/>
  <c r="B45" i="1"/>
  <c r="E15" i="1"/>
  <c r="E24" i="1"/>
  <c r="E25" i="1"/>
  <c r="E34" i="1" s="1"/>
  <c r="T44" i="1"/>
  <c r="Q33" i="1"/>
  <c r="N43" i="1"/>
  <c r="K46" i="1"/>
  <c r="K43" i="1"/>
  <c r="H46" i="1"/>
  <c r="E45" i="1"/>
  <c r="B46" i="1"/>
  <c r="K41" i="1"/>
  <c r="Z45" i="1"/>
  <c r="Z33" i="1"/>
  <c r="T46" i="1"/>
  <c r="N45" i="1"/>
  <c r="K45" i="1"/>
  <c r="E46" i="1"/>
  <c r="N41" i="1"/>
  <c r="B32" i="1"/>
  <c r="K31" i="1"/>
  <c r="L32" i="1" s="1"/>
  <c r="Z32" i="1"/>
  <c r="Z31" i="1"/>
  <c r="T31" i="1"/>
  <c r="N31" i="1"/>
  <c r="O35" i="1" s="1"/>
  <c r="B31" i="1"/>
  <c r="Z46" i="1"/>
  <c r="W33" i="1"/>
  <c r="W42" i="1" s="1"/>
  <c r="T45" i="1"/>
  <c r="T33" i="1"/>
  <c r="Q45" i="1"/>
  <c r="N46" i="1"/>
  <c r="O37" i="1"/>
  <c r="L35" i="1"/>
  <c r="K44" i="1"/>
  <c r="H43" i="1"/>
  <c r="H44" i="1"/>
  <c r="B44" i="1"/>
  <c r="AJ4" i="5"/>
  <c r="AR4" i="5"/>
  <c r="AZ4" i="5"/>
  <c r="AK4" i="5"/>
  <c r="G27" i="5" s="1"/>
  <c r="AS4" i="5"/>
  <c r="O27" i="5" s="1"/>
  <c r="BA4" i="5"/>
  <c r="W27" i="5" s="1"/>
  <c r="AH4" i="5"/>
  <c r="AL4" i="5"/>
  <c r="AP4" i="5"/>
  <c r="AT4" i="5"/>
  <c r="AX4" i="5"/>
  <c r="AV4" i="5"/>
  <c r="AW4" i="5"/>
  <c r="S27" i="5" s="1"/>
  <c r="AI4" i="5"/>
  <c r="E27" i="5" s="1"/>
  <c r="AM4" i="5"/>
  <c r="I27" i="5" s="1"/>
  <c r="AQ4" i="5"/>
  <c r="M27" i="5" s="1"/>
  <c r="AU4" i="5"/>
  <c r="Q27" i="5" s="1"/>
  <c r="AY4" i="5"/>
  <c r="U27" i="5" s="1"/>
  <c r="K31" i="5"/>
  <c r="K16" i="5"/>
  <c r="K18" i="5" s="1"/>
  <c r="Q54" i="8"/>
  <c r="G54" i="8"/>
  <c r="F54" i="8"/>
  <c r="E54" i="8"/>
  <c r="D54" i="8"/>
  <c r="I33" i="1" l="1"/>
  <c r="I34" i="1"/>
  <c r="C35" i="1"/>
  <c r="I31" i="1"/>
  <c r="C34" i="1"/>
  <c r="AA34" i="1"/>
  <c r="I37" i="1"/>
  <c r="I36" i="1"/>
  <c r="X36" i="1"/>
  <c r="H42" i="1"/>
  <c r="I44" i="1" s="1"/>
  <c r="I32" i="1"/>
  <c r="I35" i="1"/>
  <c r="O36" i="1"/>
  <c r="L34" i="1"/>
  <c r="O34" i="1"/>
  <c r="X35" i="1"/>
  <c r="L36" i="1"/>
  <c r="E33" i="1"/>
  <c r="F36" i="1" s="1"/>
  <c r="X37" i="1"/>
  <c r="O32" i="1"/>
  <c r="AA32" i="1"/>
  <c r="Z41" i="1"/>
  <c r="K51" i="1"/>
  <c r="C37" i="1"/>
  <c r="K56" i="1"/>
  <c r="K52" i="1"/>
  <c r="R33" i="1"/>
  <c r="U33" i="1"/>
  <c r="Q42" i="1"/>
  <c r="R42" i="1" s="1"/>
  <c r="C36" i="1"/>
  <c r="R34" i="1"/>
  <c r="U35" i="1"/>
  <c r="R32" i="1"/>
  <c r="R37" i="1"/>
  <c r="U31" i="1"/>
  <c r="H49" i="1"/>
  <c r="U36" i="1"/>
  <c r="N40" i="1"/>
  <c r="O46" i="1" s="1"/>
  <c r="O31" i="1"/>
  <c r="L31" i="1"/>
  <c r="K40" i="1"/>
  <c r="E52" i="1"/>
  <c r="N50" i="1"/>
  <c r="N51" i="1"/>
  <c r="Z42" i="1"/>
  <c r="AA33" i="1"/>
  <c r="B56" i="1"/>
  <c r="B52" i="1"/>
  <c r="H52" i="1"/>
  <c r="H56" i="1"/>
  <c r="L37" i="1"/>
  <c r="L33" i="1"/>
  <c r="K42" i="1"/>
  <c r="L42" i="1" s="1"/>
  <c r="Q49" i="1"/>
  <c r="R35" i="1"/>
  <c r="H54" i="1"/>
  <c r="N42" i="1"/>
  <c r="O33" i="1"/>
  <c r="W50" i="1"/>
  <c r="R31" i="1"/>
  <c r="AA37" i="1"/>
  <c r="C32" i="1"/>
  <c r="B41" i="1"/>
  <c r="U34" i="1"/>
  <c r="AA35" i="1"/>
  <c r="U32" i="1"/>
  <c r="Q52" i="1"/>
  <c r="Q56" i="1"/>
  <c r="Q50" i="1"/>
  <c r="Q51" i="1"/>
  <c r="B40" i="1"/>
  <c r="B50" i="1" s="1"/>
  <c r="C31" i="1"/>
  <c r="E43" i="1"/>
  <c r="N56" i="1"/>
  <c r="N52" i="1"/>
  <c r="X33" i="1"/>
  <c r="T42" i="1"/>
  <c r="X31" i="1"/>
  <c r="T40" i="1"/>
  <c r="Z51" i="1"/>
  <c r="N49" i="1"/>
  <c r="R36" i="1"/>
  <c r="T51" i="1"/>
  <c r="Z56" i="1"/>
  <c r="Z52" i="1"/>
  <c r="Z40" i="1"/>
  <c r="Z50" i="1" s="1"/>
  <c r="AA31" i="1"/>
  <c r="T52" i="1"/>
  <c r="T56" i="1"/>
  <c r="AA36" i="1"/>
  <c r="X32" i="1"/>
  <c r="K49" i="1"/>
  <c r="W49" i="1"/>
  <c r="B51" i="1"/>
  <c r="H50" i="1"/>
  <c r="H51" i="1"/>
  <c r="I50" i="1"/>
  <c r="X34" i="1"/>
  <c r="C33" i="1"/>
  <c r="E40" i="1"/>
  <c r="F49" i="1" s="1"/>
  <c r="U37" i="1"/>
  <c r="Q54" i="1"/>
  <c r="U16" i="5"/>
  <c r="U18" i="5" s="1"/>
  <c r="U29" i="5"/>
  <c r="U31" i="5" s="1"/>
  <c r="E29" i="5"/>
  <c r="E16" i="5"/>
  <c r="E18" i="5" s="1"/>
  <c r="W29" i="5"/>
  <c r="W31" i="5" s="1"/>
  <c r="W16" i="5"/>
  <c r="W18" i="5" s="1"/>
  <c r="E31" i="5"/>
  <c r="Q29" i="5"/>
  <c r="Q31" i="5" s="1"/>
  <c r="Q16" i="5"/>
  <c r="Q18" i="5" s="1"/>
  <c r="O29" i="5"/>
  <c r="O16" i="5"/>
  <c r="O18" i="5" s="1"/>
  <c r="M29" i="5"/>
  <c r="M16" i="5"/>
  <c r="M18" i="5" s="1"/>
  <c r="O31" i="5"/>
  <c r="G16" i="5"/>
  <c r="G18" i="5" s="1"/>
  <c r="G29" i="5"/>
  <c r="M31" i="5"/>
  <c r="S29" i="5"/>
  <c r="S31" i="5" s="1"/>
  <c r="S16" i="5"/>
  <c r="S18" i="5" s="1"/>
  <c r="I29" i="5"/>
  <c r="I16" i="5"/>
  <c r="I18" i="5" s="1"/>
  <c r="G31" i="5"/>
  <c r="H54" i="8"/>
  <c r="P53" i="8"/>
  <c r="O53" i="8"/>
  <c r="N53" i="8"/>
  <c r="M53" i="8"/>
  <c r="F37" i="1" l="1"/>
  <c r="F31" i="1"/>
  <c r="R44" i="1"/>
  <c r="R46" i="1"/>
  <c r="R43" i="1"/>
  <c r="R40" i="1"/>
  <c r="R45" i="1"/>
  <c r="R41" i="1"/>
  <c r="F32" i="1"/>
  <c r="E42" i="1"/>
  <c r="F42" i="1" s="1"/>
  <c r="F34" i="1"/>
  <c r="F33" i="1"/>
  <c r="F35" i="1"/>
  <c r="I45" i="1"/>
  <c r="I41" i="1"/>
  <c r="I43" i="1"/>
  <c r="I40" i="1"/>
  <c r="I46" i="1"/>
  <c r="I42" i="1"/>
  <c r="U46" i="1"/>
  <c r="T50" i="1"/>
  <c r="X45" i="1"/>
  <c r="O44" i="1"/>
  <c r="O41" i="1"/>
  <c r="F50" i="1"/>
  <c r="F41" i="1"/>
  <c r="E50" i="1"/>
  <c r="O42" i="1"/>
  <c r="U40" i="1"/>
  <c r="X40" i="1"/>
  <c r="T54" i="1"/>
  <c r="E49" i="1"/>
  <c r="U41" i="1"/>
  <c r="X46" i="1"/>
  <c r="AA46" i="1"/>
  <c r="U50" i="1"/>
  <c r="L44" i="1"/>
  <c r="AA45" i="1"/>
  <c r="U42" i="1"/>
  <c r="X42" i="1"/>
  <c r="C40" i="1"/>
  <c r="B54" i="1"/>
  <c r="U43" i="1"/>
  <c r="B49" i="1"/>
  <c r="K54" i="1"/>
  <c r="L40" i="1"/>
  <c r="C44" i="1"/>
  <c r="C42" i="1"/>
  <c r="K50" i="1"/>
  <c r="C45" i="1"/>
  <c r="L43" i="1"/>
  <c r="O43" i="1"/>
  <c r="X43" i="1"/>
  <c r="C41" i="1"/>
  <c r="C43" i="1"/>
  <c r="C46" i="1"/>
  <c r="AA42" i="1"/>
  <c r="E56" i="1"/>
  <c r="L46" i="1"/>
  <c r="L45" i="1"/>
  <c r="AA40" i="1"/>
  <c r="Z54" i="1"/>
  <c r="AA43" i="1"/>
  <c r="X44" i="1"/>
  <c r="E54" i="1"/>
  <c r="AA44" i="1"/>
  <c r="C50" i="1"/>
  <c r="E51" i="1"/>
  <c r="U45" i="1"/>
  <c r="T49" i="1"/>
  <c r="X41" i="1"/>
  <c r="Z49" i="1"/>
  <c r="U44" i="1"/>
  <c r="L41" i="1"/>
  <c r="O45" i="1"/>
  <c r="O40" i="1"/>
  <c r="N54" i="1"/>
  <c r="C49" i="1"/>
  <c r="AA41" i="1"/>
  <c r="I31" i="5"/>
  <c r="Q53" i="8"/>
  <c r="G53" i="8"/>
  <c r="F53" i="8"/>
  <c r="E53" i="8"/>
  <c r="D53" i="8"/>
  <c r="F40" i="1" l="1"/>
  <c r="F45" i="1"/>
  <c r="F44" i="1"/>
  <c r="F43" i="1"/>
  <c r="F46" i="1"/>
  <c r="H53" i="8"/>
  <c r="P52" i="8"/>
  <c r="O52" i="8"/>
  <c r="N52" i="8"/>
  <c r="M52" i="8"/>
  <c r="Q34" i="5" l="1"/>
  <c r="Q52" i="8"/>
  <c r="G52" i="8"/>
  <c r="F52" i="8"/>
  <c r="E52" i="8"/>
  <c r="D52" i="8"/>
  <c r="G34" i="5" l="1"/>
  <c r="H52" i="8"/>
  <c r="P51" i="8"/>
  <c r="O51" i="8"/>
  <c r="N51" i="8"/>
  <c r="M51" i="8"/>
  <c r="Q51" i="8" l="1"/>
  <c r="J52" i="8"/>
  <c r="J51" i="8"/>
  <c r="G51" i="8"/>
  <c r="F51" i="8"/>
  <c r="E51" i="8"/>
  <c r="D51" i="8"/>
  <c r="H51" i="8" l="1"/>
  <c r="A52" i="8"/>
  <c r="A51" i="8"/>
  <c r="P50" i="8"/>
  <c r="O50" i="8"/>
  <c r="N50" i="8"/>
  <c r="M50" i="8"/>
  <c r="Q19" i="5" l="1"/>
  <c r="Q50" i="8"/>
  <c r="J50" i="8"/>
  <c r="G50" i="8"/>
  <c r="F50" i="8"/>
  <c r="E50" i="8"/>
  <c r="D50" i="8"/>
  <c r="G19" i="5" l="1"/>
  <c r="Q20" i="5"/>
  <c r="Q33" i="5"/>
  <c r="Q35" i="5" s="1"/>
  <c r="H50" i="8"/>
  <c r="A50" i="8"/>
  <c r="Q49" i="8"/>
  <c r="M49" i="8"/>
  <c r="G33" i="5" l="1"/>
  <c r="G35" i="5" s="1"/>
  <c r="G20" i="5"/>
  <c r="J49" i="8"/>
  <c r="G49" i="8"/>
  <c r="F49" i="8"/>
  <c r="E49" i="8"/>
  <c r="D49" i="8"/>
  <c r="H49" i="8" l="1"/>
  <c r="A49" i="8"/>
  <c r="P48" i="8"/>
  <c r="O48" i="8"/>
  <c r="N48" i="8"/>
  <c r="M48" i="8"/>
  <c r="J48" i="8"/>
  <c r="G48" i="8"/>
  <c r="F48" i="8"/>
  <c r="E48" i="8"/>
  <c r="D48" i="8"/>
  <c r="A48" i="8"/>
  <c r="P47" i="8"/>
  <c r="O47" i="8"/>
  <c r="N47" i="8"/>
  <c r="M47" i="8"/>
  <c r="J47" i="8"/>
  <c r="G47" i="8"/>
  <c r="F47" i="8"/>
  <c r="E47" i="8"/>
  <c r="D47" i="8"/>
  <c r="A47" i="8"/>
  <c r="P46" i="8"/>
  <c r="O46" i="8"/>
  <c r="N46" i="8"/>
  <c r="M46" i="8"/>
  <c r="J46" i="8"/>
  <c r="G46" i="8"/>
  <c r="F46" i="8"/>
  <c r="E46" i="8"/>
  <c r="D46" i="8"/>
  <c r="A46" i="8"/>
  <c r="P45" i="8"/>
  <c r="O45" i="8"/>
  <c r="N45" i="8"/>
  <c r="M45" i="8"/>
  <c r="J45" i="8"/>
  <c r="G45" i="8"/>
  <c r="F45" i="8"/>
  <c r="E45" i="8"/>
  <c r="D45" i="8"/>
  <c r="A45" i="8"/>
  <c r="P44" i="8"/>
  <c r="O44" i="8"/>
  <c r="N44" i="8"/>
  <c r="M44" i="8"/>
  <c r="M55" i="8" l="1"/>
  <c r="J44" i="8"/>
  <c r="G44" i="8"/>
  <c r="F44" i="8"/>
  <c r="E44" i="8"/>
  <c r="D44" i="8"/>
  <c r="D55" i="8" l="1"/>
  <c r="A44" i="8"/>
  <c r="K43" i="8"/>
  <c r="B43" i="8"/>
  <c r="Y41" i="8"/>
  <c r="X41" i="8"/>
  <c r="W41" i="8"/>
  <c r="V41" i="8"/>
  <c r="P41" i="8"/>
  <c r="O41" i="8"/>
  <c r="N41" i="8"/>
  <c r="M41" i="8"/>
  <c r="Q41" i="8" l="1"/>
  <c r="G41" i="8"/>
  <c r="F41" i="8"/>
  <c r="E41" i="8"/>
  <c r="D41" i="8"/>
  <c r="Y40" i="8"/>
  <c r="X40" i="8"/>
  <c r="W40" i="8"/>
  <c r="V40" i="8"/>
  <c r="H41" i="8" l="1"/>
  <c r="P40" i="8"/>
  <c r="O40" i="8"/>
  <c r="N40" i="8"/>
  <c r="M40" i="8"/>
  <c r="Q40" i="8" l="1"/>
  <c r="G40" i="8"/>
  <c r="F40" i="8"/>
  <c r="E40" i="8"/>
  <c r="D40" i="8"/>
  <c r="Y39" i="8"/>
  <c r="X39" i="8"/>
  <c r="W39" i="8"/>
  <c r="V39" i="8"/>
  <c r="H40" i="8" l="1"/>
  <c r="P39" i="8"/>
  <c r="O39" i="8"/>
  <c r="N39" i="8"/>
  <c r="M39" i="8"/>
  <c r="S34" i="5" l="1"/>
  <c r="Q39" i="8"/>
  <c r="G39" i="8"/>
  <c r="F39" i="8"/>
  <c r="E39" i="8"/>
  <c r="D39" i="8"/>
  <c r="I34" i="5" l="1"/>
  <c r="H39" i="8"/>
  <c r="Y38" i="8"/>
  <c r="X38" i="8"/>
  <c r="W38" i="8"/>
  <c r="V38" i="8"/>
  <c r="S39" i="8" l="1"/>
  <c r="S38" i="8"/>
  <c r="P38" i="8"/>
  <c r="O38" i="8"/>
  <c r="N38" i="8"/>
  <c r="M38" i="8"/>
  <c r="Q38" i="8" l="1"/>
  <c r="J39" i="8"/>
  <c r="J38" i="8"/>
  <c r="G38" i="8"/>
  <c r="F38" i="8"/>
  <c r="E38" i="8"/>
  <c r="D38" i="8"/>
  <c r="H38" i="8" l="1"/>
  <c r="A39" i="8"/>
  <c r="A38" i="8"/>
  <c r="Y37" i="8"/>
  <c r="X37" i="8"/>
  <c r="W37" i="8"/>
  <c r="V37" i="8"/>
  <c r="S37" i="8"/>
  <c r="P37" i="8"/>
  <c r="O37" i="8"/>
  <c r="N37" i="8"/>
  <c r="M37" i="8"/>
  <c r="S19" i="5" l="1"/>
  <c r="Q37" i="8"/>
  <c r="J37" i="8"/>
  <c r="G37" i="8"/>
  <c r="F37" i="8"/>
  <c r="E37" i="8"/>
  <c r="D37" i="8"/>
  <c r="I19" i="5" l="1"/>
  <c r="S33" i="5"/>
  <c r="S35" i="5" s="1"/>
  <c r="S20" i="5"/>
  <c r="H37" i="8"/>
  <c r="A37" i="8"/>
  <c r="Y36" i="8"/>
  <c r="X36" i="8"/>
  <c r="W36" i="8"/>
  <c r="V36" i="8"/>
  <c r="I20" i="5" l="1"/>
  <c r="I33" i="5"/>
  <c r="I35" i="5" s="1"/>
  <c r="S36" i="8"/>
  <c r="Q36" i="8"/>
  <c r="M36" i="8"/>
  <c r="J36" i="8"/>
  <c r="G36" i="8"/>
  <c r="F36" i="8"/>
  <c r="E36" i="8"/>
  <c r="D36" i="8"/>
  <c r="H36" i="8" l="1"/>
  <c r="A36" i="8"/>
  <c r="Y35" i="8"/>
  <c r="X35" i="8"/>
  <c r="W35" i="8"/>
  <c r="V35" i="8"/>
  <c r="S35" i="8"/>
  <c r="P35" i="8"/>
  <c r="O35" i="8"/>
  <c r="N35" i="8"/>
  <c r="M35" i="8"/>
  <c r="Q35" i="8" l="1"/>
  <c r="J35" i="8"/>
  <c r="G35" i="8"/>
  <c r="F35" i="8"/>
  <c r="E35" i="8"/>
  <c r="D35" i="8"/>
  <c r="H35" i="8" l="1"/>
  <c r="A35" i="8"/>
  <c r="Y34" i="8"/>
  <c r="X34" i="8"/>
  <c r="W34" i="8"/>
  <c r="V34" i="8"/>
  <c r="S34" i="8"/>
  <c r="P34" i="8"/>
  <c r="O34" i="8"/>
  <c r="N34" i="8"/>
  <c r="M34" i="8"/>
  <c r="Q34" i="8" l="1"/>
  <c r="J34" i="8"/>
  <c r="G34" i="8"/>
  <c r="F34" i="8"/>
  <c r="E34" i="8"/>
  <c r="D34" i="8"/>
  <c r="H34" i="8" l="1"/>
  <c r="A34" i="8"/>
  <c r="Y33" i="8"/>
  <c r="X33" i="8"/>
  <c r="W33" i="8"/>
  <c r="V33" i="8"/>
  <c r="S33" i="8"/>
  <c r="P33" i="8"/>
  <c r="O33" i="8"/>
  <c r="N33" i="8"/>
  <c r="M33" i="8"/>
  <c r="Q33" i="8" l="1"/>
  <c r="J33" i="8"/>
  <c r="G33" i="8"/>
  <c r="F33" i="8"/>
  <c r="E33" i="8"/>
  <c r="D33" i="8"/>
  <c r="H33" i="8" l="1"/>
  <c r="A33" i="8"/>
  <c r="Y32" i="8"/>
  <c r="X32" i="8"/>
  <c r="W32" i="8"/>
  <c r="V32" i="8"/>
  <c r="S32" i="8"/>
  <c r="P32" i="8"/>
  <c r="O32" i="8"/>
  <c r="N32" i="8"/>
  <c r="M32" i="8"/>
  <c r="Q32" i="8" l="1"/>
  <c r="J32" i="8"/>
  <c r="G32" i="8"/>
  <c r="F32" i="8"/>
  <c r="E32" i="8"/>
  <c r="D32" i="8"/>
  <c r="H32" i="8" l="1"/>
  <c r="A32" i="8"/>
  <c r="Y31" i="8"/>
  <c r="X31" i="8"/>
  <c r="W31" i="8"/>
  <c r="V31" i="8"/>
  <c r="V42" i="8" l="1"/>
  <c r="S31" i="8"/>
  <c r="P31" i="8"/>
  <c r="O31" i="8"/>
  <c r="N31" i="8"/>
  <c r="M31" i="8"/>
  <c r="M42" i="8" l="1"/>
  <c r="Q31" i="8"/>
  <c r="J31" i="8"/>
  <c r="G31" i="8"/>
  <c r="F31" i="8"/>
  <c r="E31" i="8"/>
  <c r="D31" i="8"/>
  <c r="D42" i="8" l="1"/>
  <c r="H31" i="8"/>
  <c r="A31" i="8"/>
  <c r="B30" i="8" s="1"/>
  <c r="T30" i="8"/>
  <c r="K30" i="8"/>
  <c r="Y28" i="8"/>
  <c r="X28" i="8"/>
  <c r="W28" i="8"/>
  <c r="V28" i="8"/>
  <c r="Z28" i="8" l="1"/>
  <c r="P28" i="8"/>
  <c r="O28" i="8"/>
  <c r="N28" i="8"/>
  <c r="M28" i="8"/>
  <c r="Q28" i="8" l="1"/>
  <c r="G28" i="8"/>
  <c r="F28" i="8"/>
  <c r="E28" i="8"/>
  <c r="D28" i="8"/>
  <c r="H28" i="8" l="1"/>
  <c r="Y27" i="8"/>
  <c r="X27" i="8"/>
  <c r="W27" i="8"/>
  <c r="V27" i="8"/>
  <c r="Z27" i="8" l="1"/>
  <c r="P27" i="8"/>
  <c r="O27" i="8"/>
  <c r="N27" i="8"/>
  <c r="M27" i="8"/>
  <c r="Q27" i="8" l="1"/>
  <c r="G27" i="8"/>
  <c r="F27" i="8"/>
  <c r="E27" i="8"/>
  <c r="D27" i="8"/>
  <c r="H27" i="8" l="1"/>
  <c r="Y26" i="8"/>
  <c r="Z26" i="8" s="1"/>
  <c r="X26" i="8"/>
  <c r="W26" i="8"/>
  <c r="V26" i="8"/>
  <c r="K34" i="5" s="1"/>
  <c r="P26" i="8"/>
  <c r="O26" i="8"/>
  <c r="N26" i="8"/>
  <c r="M26" i="8"/>
  <c r="U34" i="5" l="1"/>
  <c r="Q26" i="8"/>
  <c r="G26" i="8"/>
  <c r="F26" i="8"/>
  <c r="E26" i="8"/>
  <c r="D26" i="8"/>
  <c r="M34" i="5" l="1"/>
  <c r="H26" i="8"/>
  <c r="Y25" i="8"/>
  <c r="X25" i="8"/>
  <c r="S26" i="8" s="1"/>
  <c r="W25" i="8"/>
  <c r="V25" i="8"/>
  <c r="S25" i="8"/>
  <c r="P25" i="8"/>
  <c r="O25" i="8"/>
  <c r="N25" i="8"/>
  <c r="M25" i="8"/>
  <c r="Q25" i="8" l="1"/>
  <c r="J26" i="8"/>
  <c r="Z25" i="8"/>
  <c r="J25" i="8"/>
  <c r="G25" i="8"/>
  <c r="F25" i="8"/>
  <c r="E25" i="8"/>
  <c r="D25" i="8"/>
  <c r="H25" i="8" l="1"/>
  <c r="A26" i="8"/>
  <c r="A25" i="8"/>
  <c r="Y24" i="8"/>
  <c r="X24" i="8"/>
  <c r="W24" i="8"/>
  <c r="V24" i="8"/>
  <c r="K19" i="5" l="1"/>
  <c r="Z24" i="8"/>
  <c r="S24" i="8"/>
  <c r="P24" i="8"/>
  <c r="O24" i="8"/>
  <c r="N24" i="8"/>
  <c r="M24" i="8"/>
  <c r="U19" i="5" l="1"/>
  <c r="K33" i="5"/>
  <c r="K35" i="5" s="1"/>
  <c r="K20" i="5"/>
  <c r="Q24" i="8"/>
  <c r="J24" i="8"/>
  <c r="G24" i="8"/>
  <c r="F24" i="8"/>
  <c r="E24" i="8"/>
  <c r="D24" i="8"/>
  <c r="M19" i="5" l="1"/>
  <c r="U33" i="5"/>
  <c r="U35" i="5" s="1"/>
  <c r="U20" i="5"/>
  <c r="H24" i="8"/>
  <c r="A24" i="8"/>
  <c r="Y23" i="8"/>
  <c r="X23" i="8"/>
  <c r="W23" i="8"/>
  <c r="V23" i="8"/>
  <c r="M20" i="5" l="1"/>
  <c r="M33" i="5"/>
  <c r="M35" i="5" s="1"/>
  <c r="Z23" i="8"/>
  <c r="S23" i="8"/>
  <c r="P23" i="8"/>
  <c r="O23" i="8"/>
  <c r="N23" i="8"/>
  <c r="M23" i="8"/>
  <c r="Q23" i="8" l="1"/>
  <c r="J23" i="8"/>
  <c r="G23" i="8"/>
  <c r="F23" i="8"/>
  <c r="E23" i="8"/>
  <c r="D23" i="8"/>
  <c r="H23" i="8" l="1"/>
  <c r="A23" i="8"/>
  <c r="Y22" i="8"/>
  <c r="X22" i="8"/>
  <c r="W22" i="8"/>
  <c r="V22" i="8"/>
  <c r="S22" i="8"/>
  <c r="P22" i="8"/>
  <c r="O22" i="8"/>
  <c r="N22" i="8"/>
  <c r="M22" i="8"/>
  <c r="J22" i="8"/>
  <c r="G22" i="8"/>
  <c r="F22" i="8"/>
  <c r="E22" i="8"/>
  <c r="D22" i="8"/>
  <c r="A22" i="8"/>
  <c r="Y21" i="8"/>
  <c r="X21" i="8"/>
  <c r="W21" i="8"/>
  <c r="V21" i="8"/>
  <c r="S21" i="8"/>
  <c r="P21" i="8"/>
  <c r="O21" i="8"/>
  <c r="N21" i="8"/>
  <c r="M21" i="8"/>
  <c r="J21" i="8"/>
  <c r="G21" i="8"/>
  <c r="F21" i="8"/>
  <c r="E21" i="8"/>
  <c r="D21" i="8"/>
  <c r="A21" i="8"/>
  <c r="Y20" i="8"/>
  <c r="X20" i="8"/>
  <c r="W20" i="8"/>
  <c r="V20" i="8"/>
  <c r="S20" i="8"/>
  <c r="P20" i="8"/>
  <c r="O20" i="8"/>
  <c r="N20" i="8"/>
  <c r="M20" i="8"/>
  <c r="J20" i="8"/>
  <c r="G20" i="8"/>
  <c r="F20" i="8"/>
  <c r="E20" i="8"/>
  <c r="D20" i="8"/>
  <c r="A20" i="8"/>
  <c r="Y19" i="8"/>
  <c r="X19" i="8"/>
  <c r="W19" i="8"/>
  <c r="V19" i="8"/>
  <c r="S19" i="8"/>
  <c r="P19" i="8"/>
  <c r="O19" i="8"/>
  <c r="N19" i="8"/>
  <c r="M19" i="8"/>
  <c r="J19" i="8"/>
  <c r="G19" i="8"/>
  <c r="F19" i="8"/>
  <c r="E19" i="8"/>
  <c r="D19" i="8"/>
  <c r="A19" i="8"/>
  <c r="Y18" i="8"/>
  <c r="X18" i="8"/>
  <c r="W18" i="8"/>
  <c r="V18" i="8"/>
  <c r="V29" i="8" l="1"/>
  <c r="S18" i="8"/>
  <c r="P18" i="8"/>
  <c r="O18" i="8"/>
  <c r="N18" i="8"/>
  <c r="M18" i="8"/>
  <c r="M29" i="8" l="1"/>
  <c r="J18" i="8"/>
  <c r="G18" i="8"/>
  <c r="F18" i="8"/>
  <c r="E18" i="8"/>
  <c r="D18" i="8"/>
  <c r="D29" i="8" l="1"/>
  <c r="A18" i="8"/>
  <c r="B17" i="8" s="1"/>
  <c r="T17" i="8"/>
  <c r="K17" i="8"/>
  <c r="Y15" i="8"/>
  <c r="X15" i="8"/>
  <c r="W15" i="8"/>
  <c r="V15" i="8"/>
  <c r="Z15" i="8" l="1"/>
  <c r="P15" i="8"/>
  <c r="O15" i="8"/>
  <c r="N15" i="8"/>
  <c r="M15" i="8"/>
  <c r="Q15" i="8" l="1"/>
  <c r="G15" i="8"/>
  <c r="F15" i="8"/>
  <c r="E15" i="8"/>
  <c r="D15" i="8"/>
  <c r="H15" i="8" l="1"/>
  <c r="Y14" i="8"/>
  <c r="X14" i="8"/>
  <c r="W14" i="8"/>
  <c r="V14" i="8"/>
  <c r="Z14" i="8" l="1"/>
  <c r="P14" i="8"/>
  <c r="O14" i="8"/>
  <c r="N14" i="8"/>
  <c r="M14" i="8"/>
  <c r="Q14" i="8" l="1"/>
  <c r="G14" i="8"/>
  <c r="F14" i="8"/>
  <c r="E14" i="8"/>
  <c r="D14" i="8"/>
  <c r="H14" i="8" l="1"/>
  <c r="Y13" i="8"/>
  <c r="X13" i="8"/>
  <c r="W13" i="8"/>
  <c r="V13" i="8"/>
  <c r="O34" i="5" l="1"/>
  <c r="Z13" i="8"/>
  <c r="P13" i="8"/>
  <c r="O13" i="8"/>
  <c r="N13" i="8"/>
  <c r="M13" i="8"/>
  <c r="W34" i="5" l="1"/>
  <c r="Q13" i="8"/>
  <c r="G13" i="8"/>
  <c r="F13" i="8"/>
  <c r="E13" i="8"/>
  <c r="D13" i="8"/>
  <c r="E34" i="5" l="1"/>
  <c r="H13" i="8"/>
  <c r="Y12" i="8"/>
  <c r="X12" i="8"/>
  <c r="W12" i="8"/>
  <c r="V12" i="8"/>
  <c r="Z12" i="8" l="1"/>
  <c r="S13" i="8"/>
  <c r="S12" i="8"/>
  <c r="P12" i="8"/>
  <c r="O12" i="8"/>
  <c r="N12" i="8"/>
  <c r="M12" i="8"/>
  <c r="Q12" i="8" l="1"/>
  <c r="J13" i="8"/>
  <c r="J12" i="8"/>
  <c r="G12" i="8"/>
  <c r="F12" i="8"/>
  <c r="E12" i="8"/>
  <c r="D12" i="8"/>
  <c r="H12" i="8" l="1"/>
  <c r="A13" i="8"/>
  <c r="A12" i="8"/>
  <c r="AD11" i="8"/>
  <c r="Y11" i="8"/>
  <c r="X11" i="8"/>
  <c r="W11" i="8"/>
  <c r="V11" i="8"/>
  <c r="O19" i="5" l="1"/>
  <c r="Z11" i="8"/>
  <c r="S11" i="8"/>
  <c r="P11" i="8"/>
  <c r="O11" i="8"/>
  <c r="N11" i="8"/>
  <c r="M11" i="8"/>
  <c r="W19" i="5" l="1"/>
  <c r="O33" i="5"/>
  <c r="O35" i="5" s="1"/>
  <c r="O20" i="5"/>
  <c r="Q11" i="8"/>
  <c r="J11" i="8"/>
  <c r="G11" i="8"/>
  <c r="F11" i="8"/>
  <c r="E11" i="8"/>
  <c r="D11" i="8"/>
  <c r="E19" i="5" l="1"/>
  <c r="W33" i="5"/>
  <c r="W35" i="5" s="1"/>
  <c r="W20" i="5"/>
  <c r="H11" i="8"/>
  <c r="A11" i="8"/>
  <c r="AD10" i="8"/>
  <c r="Y10" i="8"/>
  <c r="X10" i="8"/>
  <c r="W10" i="8"/>
  <c r="V10" i="8"/>
  <c r="E33" i="5" l="1"/>
  <c r="E35" i="5" s="1"/>
  <c r="E20" i="5"/>
  <c r="Z10" i="8"/>
  <c r="S10" i="8"/>
  <c r="Q10" i="8"/>
  <c r="M10" i="8"/>
  <c r="AD20" i="5" l="1"/>
  <c r="AC20" i="5"/>
  <c r="AC32" i="5"/>
  <c r="AD32" i="5"/>
  <c r="J10" i="8"/>
  <c r="G10" i="8"/>
  <c r="F10" i="8"/>
  <c r="E10" i="8"/>
  <c r="D10" i="8"/>
  <c r="H10" i="8" l="1"/>
  <c r="A10" i="8"/>
  <c r="AD8" i="8"/>
  <c r="Y8" i="8"/>
  <c r="X8" i="8"/>
  <c r="W8" i="8"/>
  <c r="V8" i="8"/>
  <c r="S8" i="8"/>
  <c r="P8" i="8"/>
  <c r="O8" i="8"/>
  <c r="N8" i="8"/>
  <c r="M8" i="8"/>
  <c r="J8" i="8"/>
  <c r="G8" i="8"/>
  <c r="F8" i="8"/>
  <c r="E8" i="8"/>
  <c r="D8" i="8"/>
  <c r="A8" i="8"/>
  <c r="AD7" i="8"/>
  <c r="Y7" i="8"/>
  <c r="X7" i="8"/>
  <c r="W7" i="8"/>
  <c r="V7" i="8"/>
  <c r="S7" i="8"/>
  <c r="P7" i="8"/>
  <c r="O7" i="8"/>
  <c r="N7" i="8"/>
  <c r="M7" i="8"/>
  <c r="J7" i="8"/>
  <c r="G7" i="8"/>
  <c r="F7" i="8"/>
  <c r="E7" i="8"/>
  <c r="D7" i="8"/>
  <c r="A7" i="8"/>
  <c r="AD6" i="8"/>
  <c r="Y6" i="8"/>
  <c r="X6" i="8"/>
  <c r="W6" i="8"/>
  <c r="V6" i="8"/>
  <c r="S6" i="8"/>
  <c r="P6" i="8"/>
  <c r="O6" i="8"/>
  <c r="N6" i="8"/>
  <c r="M6" i="8"/>
  <c r="J6" i="8"/>
  <c r="G6" i="8"/>
  <c r="F6" i="8"/>
  <c r="E6" i="8"/>
  <c r="D6" i="8"/>
  <c r="A6" i="8"/>
  <c r="AD5" i="8"/>
  <c r="Y5" i="8"/>
  <c r="X5" i="8"/>
  <c r="W5" i="8"/>
  <c r="V5" i="8"/>
  <c r="S5" i="8"/>
  <c r="P5" i="8"/>
  <c r="O5" i="8"/>
  <c r="N5" i="8"/>
  <c r="M5" i="8"/>
  <c r="J5" i="8"/>
  <c r="G5" i="8"/>
  <c r="F5" i="8"/>
  <c r="E5" i="8"/>
  <c r="D5" i="8"/>
  <c r="A5" i="8"/>
  <c r="AD4" i="8"/>
  <c r="Y4" i="8"/>
  <c r="X4" i="8"/>
  <c r="W4" i="8"/>
  <c r="V4" i="8"/>
  <c r="V16" i="8" l="1"/>
  <c r="S4" i="8"/>
  <c r="P4" i="8"/>
  <c r="O4" i="8"/>
  <c r="N4" i="8"/>
  <c r="M4" i="8"/>
  <c r="M16" i="8" l="1"/>
  <c r="J4" i="8"/>
  <c r="G4" i="8"/>
  <c r="F4" i="8"/>
  <c r="E4" i="8"/>
  <c r="D4" i="8"/>
  <c r="D16" i="8" l="1"/>
  <c r="A4" i="8"/>
  <c r="AD3" i="8"/>
  <c r="T3" i="8"/>
  <c r="K3" i="8"/>
  <c r="B3" i="8"/>
  <c r="E1" i="8"/>
  <c r="M52" i="4"/>
  <c r="D52" i="4"/>
  <c r="G51" i="4"/>
  <c r="F51" i="4"/>
  <c r="E51" i="4"/>
  <c r="D51" i="4"/>
  <c r="E52" i="4" s="1"/>
  <c r="B51" i="4"/>
  <c r="G50" i="4"/>
  <c r="E50" i="4"/>
  <c r="D50" i="4"/>
  <c r="F50" i="4" s="1"/>
  <c r="D49" i="4"/>
  <c r="B49" i="4"/>
  <c r="G52" i="4" l="1"/>
  <c r="F52" i="4"/>
  <c r="D48" i="4"/>
  <c r="D47" i="4"/>
  <c r="B47" i="4"/>
  <c r="E46" i="4"/>
  <c r="D46" i="4"/>
  <c r="E45" i="4"/>
  <c r="D45" i="4"/>
  <c r="B45" i="4"/>
  <c r="M42" i="4"/>
  <c r="D42" i="4"/>
  <c r="F42" i="4" s="1"/>
  <c r="G41" i="4"/>
  <c r="E41" i="4"/>
  <c r="D41" i="4"/>
  <c r="E42" i="4" s="1"/>
  <c r="B41" i="4"/>
  <c r="E40" i="4"/>
  <c r="D40" i="4"/>
  <c r="D39" i="4"/>
  <c r="B39" i="4"/>
  <c r="G42" i="4" l="1"/>
  <c r="F40" i="4"/>
  <c r="G40" i="4"/>
  <c r="F41" i="4"/>
  <c r="D38" i="4"/>
  <c r="D37" i="4"/>
  <c r="B37" i="4"/>
  <c r="E36" i="4"/>
  <c r="D36" i="4"/>
  <c r="E35" i="4"/>
  <c r="D35" i="4"/>
  <c r="B35" i="4"/>
  <c r="M33" i="4"/>
  <c r="D32" i="4"/>
  <c r="E31" i="4"/>
  <c r="D31" i="4"/>
  <c r="B31" i="4"/>
  <c r="E30" i="4"/>
  <c r="D30" i="4"/>
  <c r="D29" i="4"/>
  <c r="B29" i="4"/>
  <c r="F31" i="4" l="1"/>
  <c r="G31" i="4"/>
  <c r="G30" i="4"/>
  <c r="F30" i="4"/>
  <c r="E32" i="4"/>
  <c r="G32" i="4" s="1"/>
  <c r="D28" i="4"/>
  <c r="D27" i="4"/>
  <c r="B27" i="4"/>
  <c r="F32" i="4" l="1"/>
  <c r="E26" i="4"/>
  <c r="D26" i="4"/>
  <c r="E25" i="4"/>
  <c r="D25" i="4"/>
  <c r="B25" i="4"/>
  <c r="M23" i="4"/>
  <c r="D22" i="4"/>
  <c r="E21" i="4"/>
  <c r="D21" i="4"/>
  <c r="G21" i="4" s="1"/>
  <c r="B21" i="4"/>
  <c r="E20" i="4"/>
  <c r="G20" i="4" s="1"/>
  <c r="D20" i="4"/>
  <c r="D19" i="4"/>
  <c r="B19" i="4"/>
  <c r="F20" i="4" l="1"/>
  <c r="E22" i="4"/>
  <c r="F22" i="4" s="1"/>
  <c r="F21" i="4"/>
  <c r="D18" i="4"/>
  <c r="D17" i="4"/>
  <c r="B17" i="4"/>
  <c r="G22" i="4" l="1"/>
  <c r="E16" i="4"/>
  <c r="D16" i="4"/>
  <c r="E15" i="4"/>
  <c r="D15" i="4"/>
  <c r="B15" i="4"/>
  <c r="M12" i="4"/>
  <c r="D12" i="4"/>
  <c r="E11" i="4"/>
  <c r="D11" i="4"/>
  <c r="E12" i="4" s="1"/>
  <c r="B11" i="4"/>
  <c r="E10" i="4"/>
  <c r="G10" i="4" s="1"/>
  <c r="D10" i="4"/>
  <c r="D9" i="4"/>
  <c r="B9" i="4"/>
  <c r="F12" i="4" l="1"/>
  <c r="F11" i="4"/>
  <c r="G11" i="4"/>
  <c r="G12" i="4"/>
  <c r="F10" i="4"/>
  <c r="D8" i="4"/>
  <c r="D7" i="4"/>
  <c r="B7" i="4"/>
  <c r="E6" i="4"/>
  <c r="D6" i="4"/>
  <c r="E5" i="4"/>
  <c r="D5" i="4"/>
  <c r="B5" i="4"/>
  <c r="B1" i="4"/>
</calcChain>
</file>

<file path=xl/comments1.xml><?xml version="1.0" encoding="utf-8"?>
<comments xmlns="http://schemas.openxmlformats.org/spreadsheetml/2006/main">
  <authors>
    <author>Diogo Lino</author>
  </authors>
  <commentList>
    <comment ref="M12" authorId="0" shapeId="0">
      <text>
        <r>
          <rPr>
            <b/>
            <sz val="9"/>
            <color indexed="81"/>
            <rFont val="Tahoma"/>
            <family val="2"/>
          </rPr>
          <t>10y - 2y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10y - 2y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10y - 2y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2" authorId="0" shapeId="0">
      <text>
        <r>
          <rPr>
            <b/>
            <sz val="9"/>
            <color indexed="81"/>
            <rFont val="Tahoma"/>
            <family val="2"/>
          </rPr>
          <t>10y - 2y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2" authorId="0" shapeId="0">
      <text>
        <r>
          <rPr>
            <b/>
            <sz val="9"/>
            <color indexed="81"/>
            <rFont val="Tahoma"/>
            <family val="2"/>
          </rPr>
          <t>10y - 2y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<sst xmlns="http://schemas.openxmlformats.org/spreadsheetml/2006/main" count="1880" uniqueCount="1046">
  <si>
    <t>ECO DATA</t>
  </si>
  <si>
    <t>US</t>
  </si>
  <si>
    <t>CPI</t>
  </si>
  <si>
    <t>EU</t>
  </si>
  <si>
    <t>JP</t>
  </si>
  <si>
    <t>UK</t>
  </si>
  <si>
    <t>CH</t>
  </si>
  <si>
    <t>GDP Y</t>
  </si>
  <si>
    <t>SPX</t>
  </si>
  <si>
    <t>NKY</t>
  </si>
  <si>
    <t>UKX</t>
  </si>
  <si>
    <t>REALITY</t>
  </si>
  <si>
    <t>PERCEPTION</t>
  </si>
  <si>
    <t>REACTION</t>
  </si>
  <si>
    <t>REALITY / PERCEPTION</t>
  </si>
  <si>
    <t>GER</t>
  </si>
  <si>
    <t>AU</t>
  </si>
  <si>
    <t>CN</t>
  </si>
  <si>
    <t>IT</t>
  </si>
  <si>
    <t>SP</t>
  </si>
  <si>
    <t>PT</t>
  </si>
  <si>
    <t>CB12 govt</t>
  </si>
  <si>
    <t>GUKG1 index</t>
  </si>
  <si>
    <t>GJGB1 index</t>
  </si>
  <si>
    <t>GACGB1 index</t>
  </si>
  <si>
    <t>GCAN12M index</t>
  </si>
  <si>
    <t>GBOTS12M index</t>
  </si>
  <si>
    <t>GUKG2 index</t>
  </si>
  <si>
    <t>GJGB2 index</t>
  </si>
  <si>
    <t>GACGB2 index</t>
  </si>
  <si>
    <t>GCAN2Y index</t>
  </si>
  <si>
    <t>GBTPGR2 index</t>
  </si>
  <si>
    <t>GSPG2YR index</t>
  </si>
  <si>
    <t>GSPT2YR index</t>
  </si>
  <si>
    <t>GUKG3 index</t>
  </si>
  <si>
    <t>GJGB3 index</t>
  </si>
  <si>
    <t>GACGB3 index</t>
  </si>
  <si>
    <t>GCAN3Y index</t>
  </si>
  <si>
    <t>GBTPGR3 index</t>
  </si>
  <si>
    <t>GSPG3YR index</t>
  </si>
  <si>
    <t>GSPT3YR index</t>
  </si>
  <si>
    <t>GUKG4 index</t>
  </si>
  <si>
    <t>GJGB4 index</t>
  </si>
  <si>
    <t>GACGB4 index</t>
  </si>
  <si>
    <t>GCAN4Y index</t>
  </si>
  <si>
    <t>GBTPGR4 index</t>
  </si>
  <si>
    <t>GSPG4YR index</t>
  </si>
  <si>
    <t>GSPT4YR index</t>
  </si>
  <si>
    <t>GUKG5 index</t>
  </si>
  <si>
    <t>GJGB5 index</t>
  </si>
  <si>
    <t>GACGB5 index</t>
  </si>
  <si>
    <t>GCAN5Y index</t>
  </si>
  <si>
    <t>GBTPGR5 index</t>
  </si>
  <si>
    <t>GSPG5YR index</t>
  </si>
  <si>
    <t>GSPT5YR index</t>
  </si>
  <si>
    <t>GUKG7 index</t>
  </si>
  <si>
    <t>GJGB7 index</t>
  </si>
  <si>
    <t>GACGB7 index</t>
  </si>
  <si>
    <t>GCAN7Y index</t>
  </si>
  <si>
    <t>GBTPGR7 index</t>
  </si>
  <si>
    <t>GSPG7YR index</t>
  </si>
  <si>
    <t>GSPT7YR index</t>
  </si>
  <si>
    <t>GUKG10 index</t>
  </si>
  <si>
    <t>GJGB10 index</t>
  </si>
  <si>
    <t>GACGB10 index</t>
  </si>
  <si>
    <t>GCAN10 index</t>
  </si>
  <si>
    <t>GBTPGR10 index</t>
  </si>
  <si>
    <t>GSPG10YR index</t>
  </si>
  <si>
    <t>GSPT10YR index</t>
  </si>
  <si>
    <t>GUKG30 index</t>
  </si>
  <si>
    <t>GJGB30 index</t>
  </si>
  <si>
    <t>GACGB15 index</t>
  </si>
  <si>
    <t>GCAN30 index</t>
  </si>
  <si>
    <t>GBTPGR30 index</t>
  </si>
  <si>
    <t>GSPG30YR index</t>
  </si>
  <si>
    <t>GSPT30YR index</t>
  </si>
  <si>
    <t>duration</t>
  </si>
  <si>
    <t>Sum</t>
  </si>
  <si>
    <t>dur adj 10Y</t>
  </si>
  <si>
    <t>+5-2</t>
  </si>
  <si>
    <t>+10-2</t>
  </si>
  <si>
    <t>+10-5</t>
  </si>
  <si>
    <t>+30-10</t>
  </si>
  <si>
    <t>+2510</t>
  </si>
  <si>
    <t>GDBR1 INDEX</t>
  </si>
  <si>
    <t>GDBR2 index</t>
  </si>
  <si>
    <t>GDBR3 index</t>
  </si>
  <si>
    <t>GDBR4 index</t>
  </si>
  <si>
    <t>GDBR5 index</t>
  </si>
  <si>
    <t>GDBR7 index</t>
  </si>
  <si>
    <t>GDBR10 index</t>
  </si>
  <si>
    <t>GDBR30 index</t>
  </si>
  <si>
    <t>3m bills</t>
  </si>
  <si>
    <t>3m libor</t>
  </si>
  <si>
    <t>2y tsy</t>
  </si>
  <si>
    <t>10y tsy</t>
  </si>
  <si>
    <t>cgh 5d</t>
  </si>
  <si>
    <t>cgh 1m</t>
  </si>
  <si>
    <t>cgh 1yr</t>
  </si>
  <si>
    <t>2y jgb</t>
  </si>
  <si>
    <t>10y jgb</t>
  </si>
  <si>
    <t>2y gdbr</t>
  </si>
  <si>
    <t>10y gdbr</t>
  </si>
  <si>
    <t>2y gilt</t>
  </si>
  <si>
    <t>10y gilt</t>
  </si>
  <si>
    <t>Carry</t>
  </si>
  <si>
    <t>RollDown</t>
  </si>
  <si>
    <t>eur001m index</t>
  </si>
  <si>
    <t>us0001m index</t>
  </si>
  <si>
    <t>bp0001m index</t>
  </si>
  <si>
    <t>JY0001m index</t>
  </si>
  <si>
    <t>EUR001m index</t>
  </si>
  <si>
    <t>ehuppt index</t>
  </si>
  <si>
    <t>ehupus index</t>
  </si>
  <si>
    <t>ehupeu index</t>
  </si>
  <si>
    <t>ehupjp index</t>
  </si>
  <si>
    <t>ehupgb index</t>
  </si>
  <si>
    <t>ehupcn index</t>
  </si>
  <si>
    <t>ehupes index</t>
  </si>
  <si>
    <t>CA</t>
  </si>
  <si>
    <t>GDP</t>
  </si>
  <si>
    <t>USD</t>
  </si>
  <si>
    <t>SX5E</t>
  </si>
  <si>
    <t>EUR</t>
  </si>
  <si>
    <t>JPY</t>
  </si>
  <si>
    <t>GBP</t>
  </si>
  <si>
    <t>CNY</t>
  </si>
  <si>
    <t>Budget</t>
  </si>
  <si>
    <t>na</t>
  </si>
  <si>
    <t>3m lisbor</t>
  </si>
  <si>
    <t>2y gpgb</t>
  </si>
  <si>
    <t>10y gpgb</t>
  </si>
  <si>
    <t>PSI20</t>
  </si>
  <si>
    <t>IBEX</t>
  </si>
  <si>
    <t>2y gbtp</t>
  </si>
  <si>
    <t>10y gbtp</t>
  </si>
  <si>
    <t>2y gsgb</t>
  </si>
  <si>
    <t>10y gsgb</t>
  </si>
  <si>
    <t>FTSEMIB</t>
  </si>
  <si>
    <t>FR</t>
  </si>
  <si>
    <t>GE</t>
  </si>
  <si>
    <t>DAX</t>
  </si>
  <si>
    <t>2y goat</t>
  </si>
  <si>
    <t>10y goat</t>
  </si>
  <si>
    <t>CAC</t>
  </si>
  <si>
    <t>Unempl</t>
  </si>
  <si>
    <t>ehupde index</t>
  </si>
  <si>
    <t>ehupit index</t>
  </si>
  <si>
    <t>ehupfr index</t>
  </si>
  <si>
    <t>FRA</t>
  </si>
  <si>
    <t>ITL</t>
  </si>
  <si>
    <t>SPN</t>
  </si>
  <si>
    <t>POR</t>
  </si>
  <si>
    <t>Chi</t>
  </si>
  <si>
    <t>Unemp</t>
  </si>
  <si>
    <t xml:space="preserve">GDP </t>
  </si>
  <si>
    <t>Target S/T Rate</t>
  </si>
  <si>
    <t>Diff</t>
  </si>
  <si>
    <t>CL2 Comdty</t>
  </si>
  <si>
    <t>GC2 Comdty</t>
  </si>
  <si>
    <t>SI2 Comdty</t>
  </si>
  <si>
    <t>HG2 Comdty</t>
  </si>
  <si>
    <t>HO2 Comdty</t>
  </si>
  <si>
    <t>NG2 Comdty</t>
  </si>
  <si>
    <t>C 2 Comdty</t>
  </si>
  <si>
    <t>W 2 Comdty</t>
  </si>
  <si>
    <t>2y cny</t>
  </si>
  <si>
    <t>10y cny</t>
  </si>
  <si>
    <t>bnds</t>
  </si>
  <si>
    <t>eqty</t>
  </si>
  <si>
    <t>Oil</t>
  </si>
  <si>
    <t>Bgt</t>
  </si>
  <si>
    <t>Expected L/T rate</t>
  </si>
  <si>
    <t>XIN9I</t>
  </si>
  <si>
    <t>GTCNY2Y Govt</t>
  </si>
  <si>
    <t>Date</t>
  </si>
  <si>
    <t>PX_LAST</t>
  </si>
  <si>
    <t>GTCNY10Y Govt</t>
  </si>
  <si>
    <t>RUSS</t>
  </si>
  <si>
    <t>ehupru index</t>
  </si>
  <si>
    <t>RUB</t>
  </si>
  <si>
    <t>MXRU</t>
  </si>
  <si>
    <t>dif</t>
  </si>
  <si>
    <t>Buy bonds</t>
  </si>
  <si>
    <t>GR</t>
  </si>
  <si>
    <t>gdbr10 index</t>
  </si>
  <si>
    <t>px last</t>
  </si>
  <si>
    <t>usgg10yr index</t>
  </si>
  <si>
    <t>10Y Bonds</t>
  </si>
  <si>
    <t>Yield</t>
  </si>
  <si>
    <t>Chg 1m</t>
  </si>
  <si>
    <t>Chg 5y</t>
  </si>
  <si>
    <t>Chg 6m</t>
  </si>
  <si>
    <t>Chg 1y</t>
  </si>
  <si>
    <t>BR</t>
  </si>
  <si>
    <t>MX</t>
  </si>
  <si>
    <t>DE</t>
  </si>
  <si>
    <t>NZ</t>
  </si>
  <si>
    <t>SUE</t>
  </si>
  <si>
    <t>IN</t>
  </si>
  <si>
    <t>RU</t>
  </si>
  <si>
    <t>gebr10y index</t>
  </si>
  <si>
    <t>gmxn10yr index</t>
  </si>
  <si>
    <t>chg net 1m</t>
  </si>
  <si>
    <t>chg net 6m</t>
  </si>
  <si>
    <t>chg net 1yr</t>
  </si>
  <si>
    <t>chg net 5yr</t>
  </si>
  <si>
    <t>gcan10yr index</t>
  </si>
  <si>
    <t>gfrn10 index</t>
  </si>
  <si>
    <t>gbtp10 index</t>
  </si>
  <si>
    <t>gspg10 index</t>
  </si>
  <si>
    <t>gspt10 index</t>
  </si>
  <si>
    <t>gggb10 index</t>
  </si>
  <si>
    <t>gswiss10 index</t>
  </si>
  <si>
    <t>gsgb10 index</t>
  </si>
  <si>
    <t>gjgb10 index</t>
  </si>
  <si>
    <t>gacgb10 index</t>
  </si>
  <si>
    <t>gnzgb10 index</t>
  </si>
  <si>
    <t>KO</t>
  </si>
  <si>
    <t>gvsk10y index</t>
  </si>
  <si>
    <t>gcny10 index</t>
  </si>
  <si>
    <t>gind10 index</t>
  </si>
  <si>
    <t>micxru10 index</t>
  </si>
  <si>
    <t>Equity</t>
  </si>
  <si>
    <t>SPX index</t>
  </si>
  <si>
    <t>SPTSX index</t>
  </si>
  <si>
    <t>DAX index</t>
  </si>
  <si>
    <t>CAC index</t>
  </si>
  <si>
    <t>FTSEMIB index</t>
  </si>
  <si>
    <t>IBEX index</t>
  </si>
  <si>
    <t>PSI20 index</t>
  </si>
  <si>
    <t>best pe ratio</t>
  </si>
  <si>
    <t>SMI index</t>
  </si>
  <si>
    <t>OMX index</t>
  </si>
  <si>
    <t>NKY index</t>
  </si>
  <si>
    <t>AS51 index</t>
  </si>
  <si>
    <t>NZSE50FG index</t>
  </si>
  <si>
    <t>KOSPI index</t>
  </si>
  <si>
    <t>IBOV index</t>
  </si>
  <si>
    <t>MEXBOL index</t>
  </si>
  <si>
    <t>SHCOMP index</t>
  </si>
  <si>
    <t>NIFTY index</t>
  </si>
  <si>
    <t>ASX index</t>
  </si>
  <si>
    <t>MXRU index</t>
  </si>
  <si>
    <t>chg PCt 1m</t>
  </si>
  <si>
    <t>chg PCt 6m</t>
  </si>
  <si>
    <t>chg PCt 1yr</t>
  </si>
  <si>
    <t>chg PCt 5yr</t>
  </si>
  <si>
    <t>US0003m INDEX</t>
  </si>
  <si>
    <t>EU0003m INDEX</t>
  </si>
  <si>
    <t>SF0003m INDEX</t>
  </si>
  <si>
    <t>CD0003m INDEX</t>
  </si>
  <si>
    <t>Stib3m INDEX</t>
  </si>
  <si>
    <t>NZ0003m INDEX</t>
  </si>
  <si>
    <t>Jy0003m INDEX</t>
  </si>
  <si>
    <t>Au0003m INDEX</t>
  </si>
  <si>
    <t>KrbO3m INDEX</t>
  </si>
  <si>
    <t>BZselica INDEX</t>
  </si>
  <si>
    <t>MXonbr INDEX</t>
  </si>
  <si>
    <t>Shif3m INDEX</t>
  </si>
  <si>
    <t>in003m INDEX</t>
  </si>
  <si>
    <t>ruonia INDEX</t>
  </si>
  <si>
    <t>USDEUR curncy</t>
  </si>
  <si>
    <t>CHF</t>
  </si>
  <si>
    <t>CHI</t>
  </si>
  <si>
    <t>UKX INDEX</t>
  </si>
  <si>
    <t>BP0003m INDEX</t>
  </si>
  <si>
    <t>Curncies</t>
  </si>
  <si>
    <t>Sectors US</t>
  </si>
  <si>
    <t>Sectors EU</t>
  </si>
  <si>
    <t>Styles</t>
  </si>
  <si>
    <t>S5FINL INDEX</t>
  </si>
  <si>
    <t>Financials</t>
  </si>
  <si>
    <t>Utilities</t>
  </si>
  <si>
    <t>Helth Care</t>
  </si>
  <si>
    <t>S5hlth INDEX</t>
  </si>
  <si>
    <t>S5utiL INDEX</t>
  </si>
  <si>
    <t>Energy</t>
  </si>
  <si>
    <t>S5enrs INDEX</t>
  </si>
  <si>
    <t>S5INft INDEX</t>
  </si>
  <si>
    <t>Cons Staples</t>
  </si>
  <si>
    <t>Cons Discrec</t>
  </si>
  <si>
    <t>S5cond INDEX</t>
  </si>
  <si>
    <t>S5cons INDEX</t>
  </si>
  <si>
    <t>Industrials</t>
  </si>
  <si>
    <t>S5indu INDEX</t>
  </si>
  <si>
    <t>Materials</t>
  </si>
  <si>
    <t>S5tels INDEX</t>
  </si>
  <si>
    <t>S5matr INDEX</t>
  </si>
  <si>
    <t>S5rlst INDEX</t>
  </si>
  <si>
    <t>Real Estate</t>
  </si>
  <si>
    <t>SX7E index</t>
  </si>
  <si>
    <t>Banks</t>
  </si>
  <si>
    <t>Autos</t>
  </si>
  <si>
    <t>SXAE index</t>
  </si>
  <si>
    <t>Oil&amp;Gas</t>
  </si>
  <si>
    <t>SXEE index</t>
  </si>
  <si>
    <t>SXKE index</t>
  </si>
  <si>
    <t>Basic Resources</t>
  </si>
  <si>
    <t>SXPE index</t>
  </si>
  <si>
    <t>Pers&amp;House Gds</t>
  </si>
  <si>
    <t>SXQE index</t>
  </si>
  <si>
    <t>SXRE index</t>
  </si>
  <si>
    <t>Retail</t>
  </si>
  <si>
    <t>Trvl&amp;Leisure</t>
  </si>
  <si>
    <t>SXTE index</t>
  </si>
  <si>
    <t>SX4E index</t>
  </si>
  <si>
    <t>SXOE index</t>
  </si>
  <si>
    <t>Chemicals</t>
  </si>
  <si>
    <t>Constr&amp;Matr</t>
  </si>
  <si>
    <t>Fin Services</t>
  </si>
  <si>
    <t>Food&amp;Bvrge</t>
  </si>
  <si>
    <t>SXFE index</t>
  </si>
  <si>
    <t>SX3E index</t>
  </si>
  <si>
    <t>SXNE index</t>
  </si>
  <si>
    <t>SXIE index</t>
  </si>
  <si>
    <t>Insurance</t>
  </si>
  <si>
    <t>Industry Gd&amp;Svcs</t>
  </si>
  <si>
    <t>Health Care</t>
  </si>
  <si>
    <t>SXDE index</t>
  </si>
  <si>
    <t>Tech</t>
  </si>
  <si>
    <t>SX8E index</t>
  </si>
  <si>
    <t>Telecoms</t>
  </si>
  <si>
    <t>SX6E index</t>
  </si>
  <si>
    <t>SX86E index</t>
  </si>
  <si>
    <t>Media</t>
  </si>
  <si>
    <t>SXME index</t>
  </si>
  <si>
    <t>Growth EU</t>
  </si>
  <si>
    <t>Value US</t>
  </si>
  <si>
    <t>Growth US</t>
  </si>
  <si>
    <t>LgCaps EU</t>
  </si>
  <si>
    <t>LgCaps US</t>
  </si>
  <si>
    <t>SmlCaps US</t>
  </si>
  <si>
    <t>MOAT</t>
  </si>
  <si>
    <t>VIX</t>
  </si>
  <si>
    <t>MXEU000G index</t>
  </si>
  <si>
    <t>SmlCps EU</t>
  </si>
  <si>
    <t>MXEU000S index</t>
  </si>
  <si>
    <t>SX5E index</t>
  </si>
  <si>
    <t>Comdties</t>
  </si>
  <si>
    <t>Gold</t>
  </si>
  <si>
    <t>Silver</t>
  </si>
  <si>
    <t>Copper</t>
  </si>
  <si>
    <t>NatGas</t>
  </si>
  <si>
    <t>Corn</t>
  </si>
  <si>
    <t>Weath</t>
  </si>
  <si>
    <t>svx index</t>
  </si>
  <si>
    <t>sgx index</t>
  </si>
  <si>
    <t>oex index</t>
  </si>
  <si>
    <t>sml index</t>
  </si>
  <si>
    <t>mwmftr index</t>
  </si>
  <si>
    <t>vix index</t>
  </si>
  <si>
    <t>Other</t>
  </si>
  <si>
    <t>EM</t>
  </si>
  <si>
    <t>DM</t>
  </si>
  <si>
    <t>PE</t>
  </si>
  <si>
    <t>VMG EU</t>
  </si>
  <si>
    <t>MXEU000v index</t>
  </si>
  <si>
    <t>CAD curncy</t>
  </si>
  <si>
    <t>EUR curncy</t>
  </si>
  <si>
    <t>chf curncy</t>
  </si>
  <si>
    <t>gbp curncy</t>
  </si>
  <si>
    <t>sek curncy</t>
  </si>
  <si>
    <t>jpy curncy</t>
  </si>
  <si>
    <t>aud curncy</t>
  </si>
  <si>
    <t>nzd curncy</t>
  </si>
  <si>
    <t>krw curncy</t>
  </si>
  <si>
    <t>brl curncy</t>
  </si>
  <si>
    <t>mxn curncy</t>
  </si>
  <si>
    <t>cny curncy</t>
  </si>
  <si>
    <t>inr curncy</t>
  </si>
  <si>
    <t>rub curncy</t>
  </si>
  <si>
    <t>GSPG12M index</t>
  </si>
  <si>
    <t>GSPT12M index</t>
  </si>
  <si>
    <t>L/T Tsy</t>
  </si>
  <si>
    <t>eqty+bnds</t>
  </si>
  <si>
    <t>out</t>
  </si>
  <si>
    <t>$ loose</t>
  </si>
  <si>
    <t>$ tight</t>
  </si>
  <si>
    <t>gold</t>
  </si>
  <si>
    <t>$ ok</t>
  </si>
  <si>
    <t>eco surp chg 1m</t>
  </si>
  <si>
    <t>fntl cond chg 1m</t>
  </si>
  <si>
    <t>Buy eqty</t>
  </si>
  <si>
    <t>SXXE index</t>
  </si>
  <si>
    <t>%EU</t>
  </si>
  <si>
    <t>POP</t>
  </si>
  <si>
    <t>PubDebt</t>
  </si>
  <si>
    <t>Budget def</t>
  </si>
  <si>
    <t>ULC</t>
  </si>
  <si>
    <t>eurostat</t>
  </si>
  <si>
    <t>Oecd</t>
  </si>
  <si>
    <t>10yy</t>
  </si>
  <si>
    <t>score</t>
  </si>
  <si>
    <t>Germ</t>
  </si>
  <si>
    <t>Fran</t>
  </si>
  <si>
    <t>Itl</t>
  </si>
  <si>
    <t>Spn</t>
  </si>
  <si>
    <t>Neth</t>
  </si>
  <si>
    <t>Greec</t>
  </si>
  <si>
    <t>Port</t>
  </si>
  <si>
    <t>Ire</t>
  </si>
  <si>
    <t>SZ</t>
  </si>
  <si>
    <t>gukg10 index</t>
  </si>
  <si>
    <t>BZ</t>
  </si>
  <si>
    <t>CAN</t>
  </si>
  <si>
    <t>SWD</t>
  </si>
  <si>
    <t>SKOR</t>
  </si>
  <si>
    <t>Name</t>
  </si>
  <si>
    <t>D</t>
  </si>
  <si>
    <t>W</t>
  </si>
  <si>
    <t>M</t>
  </si>
  <si>
    <t>Fund Total Assets</t>
  </si>
  <si>
    <t>MF_tot_1D</t>
  </si>
  <si>
    <t>MF_tot_1W</t>
  </si>
  <si>
    <t>MF_tot_1M</t>
  </si>
  <si>
    <t>US EQTY</t>
  </si>
  <si>
    <t>SPY EQUITY</t>
  </si>
  <si>
    <t>IVV EQUITY</t>
  </si>
  <si>
    <t>VTI EQUITY</t>
  </si>
  <si>
    <t>VOO EQUITY</t>
  </si>
  <si>
    <t>VEA EQUITY</t>
  </si>
  <si>
    <t>US FI</t>
  </si>
  <si>
    <t>AGG EQUITY</t>
  </si>
  <si>
    <t>BND EQUITY</t>
  </si>
  <si>
    <t>LQD EQUITY</t>
  </si>
  <si>
    <t>TIP EQUITY</t>
  </si>
  <si>
    <t>IEI EQUITY</t>
  </si>
  <si>
    <t>IEF EQUITY</t>
  </si>
  <si>
    <t>COMM</t>
  </si>
  <si>
    <t>GLD EQUITY</t>
  </si>
  <si>
    <t>IAU EQUITY</t>
  </si>
  <si>
    <t>USO EQUITY</t>
  </si>
  <si>
    <t>SLV EQUITY</t>
  </si>
  <si>
    <t>DBA EQUITY</t>
  </si>
  <si>
    <t>EU EQTY</t>
  </si>
  <si>
    <t>DAXEX GY EQUITY</t>
  </si>
  <si>
    <t>ISF LN EQUITY</t>
  </si>
  <si>
    <t>CAC FP EQUITY</t>
  </si>
  <si>
    <t>CSSMI SW EQUITY</t>
  </si>
  <si>
    <t>EWI US EQUITY</t>
  </si>
  <si>
    <t>EU FI</t>
  </si>
  <si>
    <t>IEAC LN EQUITY</t>
  </si>
  <si>
    <t>SE15 LN EQUITY</t>
  </si>
  <si>
    <t>IBGX LN EQUITY</t>
  </si>
  <si>
    <t>XGLE GR EQUITY</t>
  </si>
  <si>
    <t>IGLT LN EQUITY</t>
  </si>
  <si>
    <t>VWO EQUITY</t>
  </si>
  <si>
    <t>IEMG EQUITY</t>
  </si>
  <si>
    <t>MCHI EQUITY</t>
  </si>
  <si>
    <t>EWZ EQUITY</t>
  </si>
  <si>
    <t>RSX EQUITY</t>
  </si>
  <si>
    <t>INDA US EQUITY</t>
  </si>
  <si>
    <t>PBOC BS $</t>
  </si>
  <si>
    <t>FED BS $</t>
  </si>
  <si>
    <t>ECB BS $</t>
  </si>
  <si>
    <t>BOE BS $</t>
  </si>
  <si>
    <t>BOJ BS $</t>
  </si>
  <si>
    <t>30-5</t>
  </si>
  <si>
    <t>BBSW1m index</t>
  </si>
  <si>
    <t>Money 3m</t>
  </si>
  <si>
    <t>Bond 10y</t>
  </si>
  <si>
    <t>Eqty EY</t>
  </si>
  <si>
    <t>wrld avg</t>
  </si>
  <si>
    <t>#N/A N/A</t>
  </si>
  <si>
    <t>Start Date</t>
  </si>
  <si>
    <t>End Date</t>
  </si>
  <si>
    <t>Dates</t>
  </si>
  <si>
    <t>FARBAST INDEX</t>
  </si>
  <si>
    <t>EBBSTOTA index</t>
  </si>
  <si>
    <t>BJACTOTL index</t>
  </si>
  <si>
    <t>CNBMTTAS index</t>
  </si>
  <si>
    <t>FED</t>
  </si>
  <si>
    <t>ECB</t>
  </si>
  <si>
    <t>BOE</t>
  </si>
  <si>
    <t>BOJ</t>
  </si>
  <si>
    <t>PBOC</t>
  </si>
  <si>
    <t>ALL</t>
  </si>
  <si>
    <t>b141 B3XP index</t>
  </si>
  <si>
    <t>all</t>
  </si>
  <si>
    <t>USGG10YR index</t>
  </si>
  <si>
    <t>USGG30YR index</t>
  </si>
  <si>
    <t>USGG2YR index</t>
  </si>
  <si>
    <t>USGG3YR index</t>
  </si>
  <si>
    <t>USGG4YR index</t>
  </si>
  <si>
    <t>USGG5YR index</t>
  </si>
  <si>
    <t>USGG7YR index</t>
  </si>
  <si>
    <t>CABROVER INDEX</t>
  </si>
  <si>
    <t>tgt</t>
  </si>
  <si>
    <t>Fiscal    ++</t>
  </si>
  <si>
    <t>Bgt deficit = taxes</t>
  </si>
  <si>
    <t>Rotation to cyclicals</t>
  </si>
  <si>
    <t>Sell Bonds</t>
  </si>
  <si>
    <t>Macro   --</t>
  </si>
  <si>
    <t>Sentiment    +</t>
  </si>
  <si>
    <t>Eco not priority</t>
  </si>
  <si>
    <t>Buy value + cyclicals</t>
  </si>
  <si>
    <t>Monetary   +</t>
  </si>
  <si>
    <t>Sentiment    -</t>
  </si>
  <si>
    <t>CA more balanced</t>
  </si>
  <si>
    <t>BARC LN Equity</t>
  </si>
  <si>
    <t>IAG LN Equity</t>
  </si>
  <si>
    <t>BLND LN Equity</t>
  </si>
  <si>
    <t>ANTO LN Equity</t>
  </si>
  <si>
    <t>MRO LN Equity</t>
  </si>
  <si>
    <t>HSBA LN Equity</t>
  </si>
  <si>
    <t>LGEN LN Equity</t>
  </si>
  <si>
    <t>WPP LN Equity</t>
  </si>
  <si>
    <t>ADM LN Equity</t>
  </si>
  <si>
    <t>NWG LN Equity</t>
  </si>
  <si>
    <t>LAND LN Equity</t>
  </si>
  <si>
    <t>STAN LN Equity</t>
  </si>
  <si>
    <t>RMV LN Equity</t>
  </si>
  <si>
    <t>ICP LN Equity</t>
  </si>
  <si>
    <t>RIO LN Equity</t>
  </si>
  <si>
    <t>PRU LN Equity</t>
  </si>
  <si>
    <t>SLA LN Equity</t>
  </si>
  <si>
    <t>ENT LN Equity</t>
  </si>
  <si>
    <t>RSW LN Equity</t>
  </si>
  <si>
    <t>KGF LN Equity</t>
  </si>
  <si>
    <t>INF LN Equity</t>
  </si>
  <si>
    <t>AV/ LN Equity</t>
  </si>
  <si>
    <t>WEIR LN Equity</t>
  </si>
  <si>
    <t>LLOY LN Equity</t>
  </si>
  <si>
    <t>ABF LN Equity</t>
  </si>
  <si>
    <t>JD/ LN Equity</t>
  </si>
  <si>
    <t>EVR LN Equity</t>
  </si>
  <si>
    <t>IHG LN Equity</t>
  </si>
  <si>
    <t>PSH LN Equity</t>
  </si>
  <si>
    <t>NXT LN Equity</t>
  </si>
  <si>
    <t>AAL LN Equity</t>
  </si>
  <si>
    <t>MNG LN Equity</t>
  </si>
  <si>
    <t>WTB LN Equity</t>
  </si>
  <si>
    <t>BA/ LN Equity</t>
  </si>
  <si>
    <t>AUTO LN Equity</t>
  </si>
  <si>
    <t>PHNX LN Equity</t>
  </si>
  <si>
    <t>RR/ LN Equity</t>
  </si>
  <si>
    <t>VOD LN Equity</t>
  </si>
  <si>
    <t>FLTR LN Equity</t>
  </si>
  <si>
    <t>BHP LN Equity</t>
  </si>
  <si>
    <t>PSON LN Equity</t>
  </si>
  <si>
    <t>GLEN LN Equity</t>
  </si>
  <si>
    <t>TW/ LN Equity</t>
  </si>
  <si>
    <t>STJ LN Equity</t>
  </si>
  <si>
    <t>BKG LN Equity</t>
  </si>
  <si>
    <t>SPX LN Equity</t>
  </si>
  <si>
    <t>SDR LN Equity</t>
  </si>
  <si>
    <t>AHT LN Equity</t>
  </si>
  <si>
    <t>JMAT LN Equity</t>
  </si>
  <si>
    <t>III LN Equity</t>
  </si>
  <si>
    <t>PSN LN Equity</t>
  </si>
  <si>
    <t>SGRO LN Equity</t>
  </si>
  <si>
    <t>CPG LN Equity</t>
  </si>
  <si>
    <t>CRH LN Equity</t>
  </si>
  <si>
    <t>HL/ LN Equity</t>
  </si>
  <si>
    <t>SMDS LN Equity</t>
  </si>
  <si>
    <t>SMIN LN Equity</t>
  </si>
  <si>
    <t>BDEV LN Equity</t>
  </si>
  <si>
    <t>DGE LN Equity</t>
  </si>
  <si>
    <t>LSEG LN Equity</t>
  </si>
  <si>
    <t>SGE LN Equity</t>
  </si>
  <si>
    <t>BP/ LN Equity</t>
  </si>
  <si>
    <t>RDSA LN Equity</t>
  </si>
  <si>
    <t>TSCO LN Equity</t>
  </si>
  <si>
    <t>BRBY LN Equity</t>
  </si>
  <si>
    <t>BT/A LN Equity</t>
  </si>
  <si>
    <t>AVV LN Equity</t>
  </si>
  <si>
    <t>CRDA LN Equity</t>
  </si>
  <si>
    <t>RSA LN Equity</t>
  </si>
  <si>
    <t>HLMA LN Equity</t>
  </si>
  <si>
    <t>SBRY LN Equity</t>
  </si>
  <si>
    <t>RDSB LN Equity</t>
  </si>
  <si>
    <t>AVST LN Equity</t>
  </si>
  <si>
    <t>EXPN LN Equity</t>
  </si>
  <si>
    <t>OCDO LN Equity</t>
  </si>
  <si>
    <t>GSK LN Equity</t>
  </si>
  <si>
    <t>JET LN Equity</t>
  </si>
  <si>
    <t>CCH LN Equity</t>
  </si>
  <si>
    <t>ULVR LN Equity</t>
  </si>
  <si>
    <t>ITRK LN Equity</t>
  </si>
  <si>
    <t>SN/ LN Equity</t>
  </si>
  <si>
    <t>BNZL LN Equity</t>
  </si>
  <si>
    <t>BME LN Equity</t>
  </si>
  <si>
    <t>REL LN Equity</t>
  </si>
  <si>
    <t>SKG LN Equity</t>
  </si>
  <si>
    <t>FERG LN Equity</t>
  </si>
  <si>
    <t>MNDI LN Equity</t>
  </si>
  <si>
    <t>AZN LN Equity</t>
  </si>
  <si>
    <t>POLY LN Equity</t>
  </si>
  <si>
    <t>HIK LN Equity</t>
  </si>
  <si>
    <t>RB/ LN Equity</t>
  </si>
  <si>
    <t>UU/ LN Equity</t>
  </si>
  <si>
    <t>RTO LN Equity</t>
  </si>
  <si>
    <t>IMB LN Equity</t>
  </si>
  <si>
    <t>DCC LN Equity</t>
  </si>
  <si>
    <t>BATS LN Equity</t>
  </si>
  <si>
    <t>SMT LN Equity</t>
  </si>
  <si>
    <t>NG/ LN Equity</t>
  </si>
  <si>
    <t>SSE LN Equity</t>
  </si>
  <si>
    <t>SVT LN Equity</t>
  </si>
  <si>
    <t>FRES LN Equity</t>
  </si>
  <si>
    <t>industry group</t>
  </si>
  <si>
    <t>Fiscal    +</t>
  </si>
  <si>
    <t>Sell bonds</t>
  </si>
  <si>
    <t>Sell eqty</t>
  </si>
  <si>
    <t>601012 CG Equity</t>
  </si>
  <si>
    <t>600346 CG Equity</t>
  </si>
  <si>
    <t>601138 CG Equity</t>
  </si>
  <si>
    <t>600000 CG Equity</t>
  </si>
  <si>
    <t>603259 CG Equity</t>
  </si>
  <si>
    <t>300760 CS Equity</t>
  </si>
  <si>
    <t>603288 CG Equity</t>
  </si>
  <si>
    <t>600276 CG Equity</t>
  </si>
  <si>
    <t>600031 CG Equity</t>
  </si>
  <si>
    <t>300750 CS Equity</t>
  </si>
  <si>
    <t>601088 CG Equity</t>
  </si>
  <si>
    <t>002714 CS Equity</t>
  </si>
  <si>
    <t>000001 CS Equity</t>
  </si>
  <si>
    <t>000568 CS Equity</t>
  </si>
  <si>
    <t>002352 CS Equity</t>
  </si>
  <si>
    <t>601328 CG Equity</t>
  </si>
  <si>
    <t>000333 CS Equity</t>
  </si>
  <si>
    <t>600036 CG Equity</t>
  </si>
  <si>
    <t>300015 CS Equity</t>
  </si>
  <si>
    <t>000002 CS Equity</t>
  </si>
  <si>
    <t>600519 CG Equity</t>
  </si>
  <si>
    <t>600900 CG Equity</t>
  </si>
  <si>
    <t>600028 CG Equity</t>
  </si>
  <si>
    <t>002304 CS Equity</t>
  </si>
  <si>
    <t>300059 CS Equity</t>
  </si>
  <si>
    <t>601888 CG Equity</t>
  </si>
  <si>
    <t>002594 CS Equity</t>
  </si>
  <si>
    <t>601816 CG Equity</t>
  </si>
  <si>
    <t>000858 CS Equity</t>
  </si>
  <si>
    <t>002475 CS Equity</t>
  </si>
  <si>
    <t>601939 CG Equity</t>
  </si>
  <si>
    <t>601398 CG Equity</t>
  </si>
  <si>
    <t>601988 CG Equity</t>
  </si>
  <si>
    <t>601318 CG Equity</t>
  </si>
  <si>
    <t>601066 CG Equity</t>
  </si>
  <si>
    <t>601166 CG Equity</t>
  </si>
  <si>
    <t>600309 CG Equity</t>
  </si>
  <si>
    <t>600030 CG Equity</t>
  </si>
  <si>
    <t>601288 CG Equity</t>
  </si>
  <si>
    <t>601857 CG Equity</t>
  </si>
  <si>
    <t>601899 CG Equity</t>
  </si>
  <si>
    <t>600809 CG Equity</t>
  </si>
  <si>
    <t>600585 CG Equity</t>
  </si>
  <si>
    <t>601628 CG Equity</t>
  </si>
  <si>
    <t>601998 CG Equity</t>
  </si>
  <si>
    <t>002607 CS Equity</t>
  </si>
  <si>
    <t>600887 CG Equity</t>
  </si>
  <si>
    <t>600104 CG Equity</t>
  </si>
  <si>
    <t>000651 CS Equity</t>
  </si>
  <si>
    <t>601601 CG Equity</t>
  </si>
  <si>
    <t>3086 JT Equity</t>
  </si>
  <si>
    <t>9107 JT Equity</t>
  </si>
  <si>
    <t>4751 JT Equity</t>
  </si>
  <si>
    <t>5406 JT Equity</t>
  </si>
  <si>
    <t>7004 JT Equity</t>
  </si>
  <si>
    <t>6301 JT Equity</t>
  </si>
  <si>
    <t>9101 JT Equity</t>
  </si>
  <si>
    <t>9202 JT Equity</t>
  </si>
  <si>
    <t>9983 JT Equity</t>
  </si>
  <si>
    <t>7731 JT Equity</t>
  </si>
  <si>
    <t>6305 JT Equity</t>
  </si>
  <si>
    <t>7012 JT Equity</t>
  </si>
  <si>
    <t>9104 JT Equity</t>
  </si>
  <si>
    <t>7013 JT Equity</t>
  </si>
  <si>
    <t>7261 JT Equity</t>
  </si>
  <si>
    <t>6473 JT Equity</t>
  </si>
  <si>
    <t>7211 JT Equity</t>
  </si>
  <si>
    <t>6472 JT Equity</t>
  </si>
  <si>
    <t>6361 JT Equity</t>
  </si>
  <si>
    <t>4902 JT Equity</t>
  </si>
  <si>
    <t>8804 JT Equity</t>
  </si>
  <si>
    <t>8303 JT Equity</t>
  </si>
  <si>
    <t>3105 JT Equity</t>
  </si>
  <si>
    <t>5201 JT Equity</t>
  </si>
  <si>
    <t>6857 JT Equity</t>
  </si>
  <si>
    <t>7735 JT Equity</t>
  </si>
  <si>
    <t>8233 JT Equity</t>
  </si>
  <si>
    <t>8035 JT Equity</t>
  </si>
  <si>
    <t>4004 JT Equity</t>
  </si>
  <si>
    <t>6952 JT Equity</t>
  </si>
  <si>
    <t>5108 JT Equity</t>
  </si>
  <si>
    <t>5803 JT Equity</t>
  </si>
  <si>
    <t>5411 JT Equity</t>
  </si>
  <si>
    <t>6506 JT Equity</t>
  </si>
  <si>
    <t>2502 JT Equity</t>
  </si>
  <si>
    <t>5202 JT Equity</t>
  </si>
  <si>
    <t>7003 JT Equity</t>
  </si>
  <si>
    <t>3099 JT Equity</t>
  </si>
  <si>
    <t>5214 JT Equity</t>
  </si>
  <si>
    <t>3436 JT Equity</t>
  </si>
  <si>
    <t>9613 JT Equity</t>
  </si>
  <si>
    <t>1963 JT Equity</t>
  </si>
  <si>
    <t>5301 JT Equity</t>
  </si>
  <si>
    <t>7201 JT Equity</t>
  </si>
  <si>
    <t>6770 JT Equity</t>
  </si>
  <si>
    <t>6471 JT Equity</t>
  </si>
  <si>
    <t>5233 JT Equity</t>
  </si>
  <si>
    <t>5631 JT Equity</t>
  </si>
  <si>
    <t>4506 JT Equity</t>
  </si>
  <si>
    <t>4005 JT Equity</t>
  </si>
  <si>
    <t>7951 JT Equity</t>
  </si>
  <si>
    <t>2432 JT Equity</t>
  </si>
  <si>
    <t>5333 JT Equity</t>
  </si>
  <si>
    <t>3289 JT Equity</t>
  </si>
  <si>
    <t>9984 JT Equity</t>
  </si>
  <si>
    <t>6501 JT Equity</t>
  </si>
  <si>
    <t>4324 JT Equity</t>
  </si>
  <si>
    <t>6752 JT Equity</t>
  </si>
  <si>
    <t>2801 JT Equity</t>
  </si>
  <si>
    <t>9501 JT Equity</t>
  </si>
  <si>
    <t>6753 JT Equity</t>
  </si>
  <si>
    <t>6103 JT Equity</t>
  </si>
  <si>
    <t>6504 JT Equity</t>
  </si>
  <si>
    <t>5707 JT Equity</t>
  </si>
  <si>
    <t>6724 JT Equity</t>
  </si>
  <si>
    <t>4911 JT Equity</t>
  </si>
  <si>
    <t>7269 JT Equity</t>
  </si>
  <si>
    <t>8304 JT Equity</t>
  </si>
  <si>
    <t>7762 JT Equity</t>
  </si>
  <si>
    <t>7751 JT Equity</t>
  </si>
  <si>
    <t>6098 JT Equity</t>
  </si>
  <si>
    <t>3402 JT Equity</t>
  </si>
  <si>
    <t>5703 JT Equity</t>
  </si>
  <si>
    <t>5541 JT Equity</t>
  </si>
  <si>
    <t>8308 JT Equity</t>
  </si>
  <si>
    <t>7011 JT Equity</t>
  </si>
  <si>
    <t>7733 JT Equity</t>
  </si>
  <si>
    <t>8252 JT Equity</t>
  </si>
  <si>
    <t>6988 JT Equity</t>
  </si>
  <si>
    <t>3401 JT Equity</t>
  </si>
  <si>
    <t>5101 JT Equity</t>
  </si>
  <si>
    <t>6326 JT Equity</t>
  </si>
  <si>
    <t>6954 JT Equity</t>
  </si>
  <si>
    <t>5706 JT Equity</t>
  </si>
  <si>
    <t>4568 JT Equity</t>
  </si>
  <si>
    <t>6902 JT Equity</t>
  </si>
  <si>
    <t>5401 JT Equity</t>
  </si>
  <si>
    <t>3405 JT Equity</t>
  </si>
  <si>
    <t>2503 JT Equity</t>
  </si>
  <si>
    <t>1332 JT Equity</t>
  </si>
  <si>
    <t>2768 JT Equity</t>
  </si>
  <si>
    <t>4151 JT Equity</t>
  </si>
  <si>
    <t>4543 JT Equity</t>
  </si>
  <si>
    <t>6479 JT Equity</t>
  </si>
  <si>
    <t>6762 JT Equity</t>
  </si>
  <si>
    <t>7272 JT Equity</t>
  </si>
  <si>
    <t>7911 JT Equity</t>
  </si>
  <si>
    <t>3382 JT Equity</t>
  </si>
  <si>
    <t>5901 JT Equity</t>
  </si>
  <si>
    <t>8309 JT Equity</t>
  </si>
  <si>
    <t>9005 JT Equity</t>
  </si>
  <si>
    <t>9301 JT Equity</t>
  </si>
  <si>
    <t>8697 JT Equity</t>
  </si>
  <si>
    <t>5711 JT Equity</t>
  </si>
  <si>
    <t>2914 JT Equity</t>
  </si>
  <si>
    <t>3103 JT Equity</t>
  </si>
  <si>
    <t>2501 JT Equity</t>
  </si>
  <si>
    <t>7752 JT Equity</t>
  </si>
  <si>
    <t>4507 JT Equity</t>
  </si>
  <si>
    <t>9009 JT Equity</t>
  </si>
  <si>
    <t>4901 JT Equity</t>
  </si>
  <si>
    <t>9021 JT Equity</t>
  </si>
  <si>
    <t>8601 JT Equity</t>
  </si>
  <si>
    <t>2531 JT Equity</t>
  </si>
  <si>
    <t>4704 JT Equity</t>
  </si>
  <si>
    <t>7267 JT Equity</t>
  </si>
  <si>
    <t>2802 JT Equity</t>
  </si>
  <si>
    <t>4188 JT Equity</t>
  </si>
  <si>
    <t>4631 JT Equity</t>
  </si>
  <si>
    <t>1721 JT Equity</t>
  </si>
  <si>
    <t>9602 JT Equity</t>
  </si>
  <si>
    <t>8801 JT Equity</t>
  </si>
  <si>
    <t>7270 JT Equity</t>
  </si>
  <si>
    <t>6367 JT Equity</t>
  </si>
  <si>
    <t>6113 JT Equity</t>
  </si>
  <si>
    <t>5019 JT Equity</t>
  </si>
  <si>
    <t>6302 JT Equity</t>
  </si>
  <si>
    <t>8306 JT Equity</t>
  </si>
  <si>
    <t>5801 JT Equity</t>
  </si>
  <si>
    <t>8331 JT Equity</t>
  </si>
  <si>
    <t>1928 JT Equity</t>
  </si>
  <si>
    <t>4063 JT Equity</t>
  </si>
  <si>
    <t>4503 JT Equity</t>
  </si>
  <si>
    <t>1605 JT Equity</t>
  </si>
  <si>
    <t>5802 JT Equity</t>
  </si>
  <si>
    <t>8802 JT Equity</t>
  </si>
  <si>
    <t>4689 JT Equity</t>
  </si>
  <si>
    <t>8604 JT Equity</t>
  </si>
  <si>
    <t>1812 JT Equity</t>
  </si>
  <si>
    <t>9062 JT Equity</t>
  </si>
  <si>
    <t>7205 JT Equity</t>
  </si>
  <si>
    <t>8015 JT Equity</t>
  </si>
  <si>
    <t>9766 JT Equity</t>
  </si>
  <si>
    <t>8355 JT Equity</t>
  </si>
  <si>
    <t>1801 JT Equity</t>
  </si>
  <si>
    <t>4519 JT Equity</t>
  </si>
  <si>
    <t>2282 JT Equity</t>
  </si>
  <si>
    <t>8795 JT Equity</t>
  </si>
  <si>
    <t>4021 JT Equity</t>
  </si>
  <si>
    <t>5332 JT Equity</t>
  </si>
  <si>
    <t>4043 JT Equity</t>
  </si>
  <si>
    <t>6702 JT Equity</t>
  </si>
  <si>
    <t>3861 JT Equity</t>
  </si>
  <si>
    <t>4578 JT Equity</t>
  </si>
  <si>
    <t>9022 JT Equity</t>
  </si>
  <si>
    <t>8411 JT Equity</t>
  </si>
  <si>
    <t>8316 JT Equity</t>
  </si>
  <si>
    <t>5020 JT Equity</t>
  </si>
  <si>
    <t>8002 JT Equity</t>
  </si>
  <si>
    <t>4523 JT Equity</t>
  </si>
  <si>
    <t>8354 JT Equity</t>
  </si>
  <si>
    <t>8001 JT Equity</t>
  </si>
  <si>
    <t>6976 JT Equity</t>
  </si>
  <si>
    <t>1333 JT Equity</t>
  </si>
  <si>
    <t>2871 JT Equity</t>
  </si>
  <si>
    <t>9020 JT Equity</t>
  </si>
  <si>
    <t>7912 JT Equity</t>
  </si>
  <si>
    <t>4061 JT Equity</t>
  </si>
  <si>
    <t>6758 JT Equity</t>
  </si>
  <si>
    <t>6701 JT Equity</t>
  </si>
  <si>
    <t>7203 JT Equity</t>
  </si>
  <si>
    <t>6645 JT Equity</t>
  </si>
  <si>
    <t>4208 JT Equity</t>
  </si>
  <si>
    <t>2413 JT Equity</t>
  </si>
  <si>
    <t>1802 JT Equity</t>
  </si>
  <si>
    <t>6841 JT Equity</t>
  </si>
  <si>
    <t>3407 JT Equity</t>
  </si>
  <si>
    <t>9432 JT Equity</t>
  </si>
  <si>
    <t>7202 JT Equity</t>
  </si>
  <si>
    <t>5714 JT Equity</t>
  </si>
  <si>
    <t>6674 JT Equity</t>
  </si>
  <si>
    <t>4452 JT Equity</t>
  </si>
  <si>
    <t>9412 JT Equity</t>
  </si>
  <si>
    <t>1803 JT Equity</t>
  </si>
  <si>
    <t>4042 JT Equity</t>
  </si>
  <si>
    <t>6503 JT Equity</t>
  </si>
  <si>
    <t>8628 JT Equity</t>
  </si>
  <si>
    <t>5232 JT Equity</t>
  </si>
  <si>
    <t>8725 JT Equity</t>
  </si>
  <si>
    <t>9735 JT Equity</t>
  </si>
  <si>
    <t>8830 JT Equity</t>
  </si>
  <si>
    <t>1925 JT Equity</t>
  </si>
  <si>
    <t>3659 JT Equity</t>
  </si>
  <si>
    <t>8750 JT Equity</t>
  </si>
  <si>
    <t>6703 JT Equity</t>
  </si>
  <si>
    <t>7186 JT Equity</t>
  </si>
  <si>
    <t>4502 JT Equity</t>
  </si>
  <si>
    <t>8630 JT Equity</t>
  </si>
  <si>
    <t>6971 JT Equity</t>
  </si>
  <si>
    <t>8267 JT Equity</t>
  </si>
  <si>
    <t>2002 JT Equity</t>
  </si>
  <si>
    <t>8253 JT Equity</t>
  </si>
  <si>
    <t>9001 JT Equity</t>
  </si>
  <si>
    <t>5713 JT Equity</t>
  </si>
  <si>
    <t>8031 JT Equity</t>
  </si>
  <si>
    <t>9008 JT Equity</t>
  </si>
  <si>
    <t>3863 JT Equity</t>
  </si>
  <si>
    <t>9502 JT Equity</t>
  </si>
  <si>
    <t>9531 JT Equity</t>
  </si>
  <si>
    <t>3101 JT Equity</t>
  </si>
  <si>
    <t>9064 JT Equity</t>
  </si>
  <si>
    <t>9503 JT Equity</t>
  </si>
  <si>
    <t>4183 JT Equity</t>
  </si>
  <si>
    <t>7832 JT Equity</t>
  </si>
  <si>
    <t>1808 JT Equity</t>
  </si>
  <si>
    <t>9532 JT Equity</t>
  </si>
  <si>
    <t>4755 JT Equity</t>
  </si>
  <si>
    <t>8058 JT Equity</t>
  </si>
  <si>
    <t>8766 JT Equity</t>
  </si>
  <si>
    <t>9434 JT Equity</t>
  </si>
  <si>
    <t>2269 JT Equity</t>
  </si>
  <si>
    <t>9007 JT Equity</t>
  </si>
  <si>
    <t>8053 JT Equity</t>
  </si>
  <si>
    <t>9433 JT Equity</t>
  </si>
  <si>
    <t>6178 JT Equity</t>
  </si>
  <si>
    <t>gics sector name</t>
  </si>
  <si>
    <t>Building Materials</t>
  </si>
  <si>
    <t>Monetary   --</t>
  </si>
  <si>
    <t>2Y</t>
  </si>
  <si>
    <t>GDP CYOY index</t>
  </si>
  <si>
    <t>GDP DYOY index</t>
  </si>
  <si>
    <t>UKGRABLY index</t>
  </si>
  <si>
    <t>UKRPYOY index</t>
  </si>
  <si>
    <t>JGDPNSAQ index</t>
  </si>
  <si>
    <t>JNCPIYOY index</t>
  </si>
  <si>
    <t>CNGDPYOY index</t>
  </si>
  <si>
    <t>CNCPIYOY index</t>
  </si>
  <si>
    <t>EUGNEMUY index</t>
  </si>
  <si>
    <t>ECCPEMUY index</t>
  </si>
  <si>
    <t>GDPB95YY index</t>
  </si>
  <si>
    <t>GRCP20YY index</t>
  </si>
  <si>
    <t>FRGEGDPYOY index</t>
  </si>
  <si>
    <t>FRCPIYOY index</t>
  </si>
  <si>
    <t>ITPIRLYS index</t>
  </si>
  <si>
    <t>ITCPIYOY index</t>
  </si>
  <si>
    <t>spnagdpy index</t>
  </si>
  <si>
    <t>spcpeuyy index</t>
  </si>
  <si>
    <t>PTGDPYOY Index</t>
  </si>
  <si>
    <t>PLCPYOY Index</t>
  </si>
  <si>
    <t>S/T rate</t>
  </si>
  <si>
    <t>GDP L/T</t>
  </si>
  <si>
    <t>CPI L/T</t>
  </si>
  <si>
    <t>10YY = 0.5 X S/T r + 0.5 X GDP Nominal Growth</t>
  </si>
  <si>
    <t>GDP 2y</t>
  </si>
  <si>
    <t>CPI 2y</t>
  </si>
  <si>
    <t>eco data</t>
  </si>
  <si>
    <t>2y</t>
  </si>
  <si>
    <t>last</t>
  </si>
  <si>
    <t>exp</t>
  </si>
  <si>
    <t>10YY   =&gt;   GDP Nominal Growth</t>
  </si>
  <si>
    <t>John Taylor Rule</t>
  </si>
  <si>
    <t>Maurice Allais Golden Rule</t>
  </si>
  <si>
    <t>L/T L/T rate</t>
  </si>
  <si>
    <t>20Y</t>
  </si>
  <si>
    <t>Value search - rotation to continue</t>
  </si>
  <si>
    <t>Increased risk - Volatility up</t>
  </si>
  <si>
    <t xml:space="preserve"> </t>
  </si>
  <si>
    <t>PE fwd3</t>
  </si>
  <si>
    <t>PE fwd2</t>
  </si>
  <si>
    <t>PE fwd</t>
  </si>
  <si>
    <t>Monetary   -</t>
  </si>
  <si>
    <t xml:space="preserve">EU Fund = small&amp;slow but 1st step </t>
  </si>
  <si>
    <t>Weak fintl syst - regulation, neg rts</t>
  </si>
  <si>
    <t>fair</t>
  </si>
  <si>
    <t>cheap</t>
  </si>
  <si>
    <t>tight</t>
  </si>
  <si>
    <t>SPX INDEX</t>
  </si>
  <si>
    <t>Another lost opportunity</t>
  </si>
  <si>
    <t>Watch JPY</t>
  </si>
  <si>
    <t>Economy continues soft</t>
  </si>
  <si>
    <t>No inflation pick up</t>
  </si>
  <si>
    <t xml:space="preserve">RECOMMENDATION       </t>
  </si>
  <si>
    <t xml:space="preserve">Macro   </t>
  </si>
  <si>
    <t xml:space="preserve">Monetary   </t>
  </si>
  <si>
    <t xml:space="preserve">Fiscal    </t>
  </si>
  <si>
    <t>Buy equity - but wait greenlight</t>
  </si>
  <si>
    <t>Sell NKY</t>
  </si>
  <si>
    <t>Govt does not want mkt hot</t>
  </si>
  <si>
    <t>Govt wants to reduce leverage</t>
  </si>
  <si>
    <t>economy recovery, unempl down</t>
  </si>
  <si>
    <t>end of restrictions = normalize consup?</t>
  </si>
  <si>
    <t>Fiscal policy changing to restrictive</t>
  </si>
  <si>
    <t>Budget deficit = future taxes</t>
  </si>
  <si>
    <t>supply constraints, strong demand = inf</t>
  </si>
  <si>
    <t>Geopolitical tensions - war</t>
  </si>
  <si>
    <t>Caution - volatility</t>
  </si>
  <si>
    <t>Flat YC - pricing Fed hikes</t>
  </si>
  <si>
    <t>Services vs goods</t>
  </si>
  <si>
    <t>less liquidity</t>
  </si>
  <si>
    <t>slower growth</t>
  </si>
  <si>
    <t>Watch earnings - mkt strenght? Buybacks</t>
  </si>
  <si>
    <t>market risk, 3WW?</t>
  </si>
  <si>
    <t>Market stressed with Hikes, less liquidity</t>
  </si>
  <si>
    <t>Reopening - Bkng, Uber, Aal, Germ</t>
  </si>
  <si>
    <t>Buy quality tech, dump expensive</t>
  </si>
  <si>
    <t>YC slight stpnrs + trade TY short</t>
  </si>
  <si>
    <t>Defense sector - revamp in bdgts?</t>
  </si>
  <si>
    <t>Fiscal    -</t>
  </si>
  <si>
    <t>slower recovery, uneven</t>
  </si>
  <si>
    <t>Leading pandemic to endemic</t>
  </si>
  <si>
    <t>South with lots of problems</t>
  </si>
  <si>
    <t>Inflation picked up</t>
  </si>
  <si>
    <t>earnings growth very strong</t>
  </si>
  <si>
    <t>monetary looser policy = advantage</t>
  </si>
  <si>
    <t>tigher fiscal policy = disadvantage</t>
  </si>
  <si>
    <t>Can south sustain higher rates?</t>
  </si>
  <si>
    <t>Mkt looking for value in EU</t>
  </si>
  <si>
    <t>sell bonds in core countries</t>
  </si>
  <si>
    <t>Higher vol</t>
  </si>
  <si>
    <t>Higher energy prices</t>
  </si>
  <si>
    <t>Long vol and energy sector</t>
  </si>
  <si>
    <t>2 rate hikes already</t>
  </si>
  <si>
    <t>Political instability</t>
  </si>
  <si>
    <t>No pandemic restrictions</t>
  </si>
  <si>
    <t>Uncertainty on trade</t>
  </si>
  <si>
    <t>High trade uncertainty</t>
  </si>
  <si>
    <t>sell bonds</t>
  </si>
  <si>
    <t>Gov to stay in power?</t>
  </si>
  <si>
    <t>GBP to appreciate and hurt exports?</t>
  </si>
  <si>
    <t>Anemic recovery</t>
  </si>
  <si>
    <t>Not able to generate inf</t>
  </si>
  <si>
    <t>New Gov to use same recipe</t>
  </si>
  <si>
    <t>Only country loosening</t>
  </si>
  <si>
    <t>Covid 0 policy impact</t>
  </si>
  <si>
    <t>Geopolitical tensions - new Russia?</t>
  </si>
  <si>
    <t>Rising power</t>
  </si>
  <si>
    <t>Selective injections</t>
  </si>
  <si>
    <t>Growing but slower pace</t>
  </si>
  <si>
    <t>Sell CNY</t>
  </si>
  <si>
    <t>PBOC cautious with credit bubbles</t>
  </si>
  <si>
    <t>Geopolitical Risks</t>
  </si>
  <si>
    <t xml:space="preserve">Monetary  </t>
  </si>
  <si>
    <t xml:space="preserve">Sentiment    </t>
  </si>
  <si>
    <t>rate  =  (  inf  + target real rate  )  +  0.5  x  (  inf  -  target inf  )  +  0.5  x  (  GDP  -  GDP Potential  )</t>
  </si>
  <si>
    <t>Target real rate</t>
  </si>
  <si>
    <t>Target inf</t>
  </si>
  <si>
    <t>GDP (usd)</t>
  </si>
  <si>
    <t>GDP PC</t>
  </si>
  <si>
    <t>GDP growth</t>
  </si>
  <si>
    <t>Macro  +</t>
  </si>
  <si>
    <t>Earnings beating exp, ear growth decelarating</t>
  </si>
  <si>
    <t>sentiment starting to cool down</t>
  </si>
  <si>
    <t>Consumers hit by inf</t>
  </si>
  <si>
    <t>Sentiment hurt</t>
  </si>
  <si>
    <t>Economy strong - consumer driven</t>
  </si>
  <si>
    <t>Inflation risk materialized - 10y moved fast</t>
  </si>
  <si>
    <t>Value sectors = financials (suffer), hcare, energy</t>
  </si>
  <si>
    <t>Buy hcare, materials</t>
  </si>
  <si>
    <t>Opportunistic HY - not high lev</t>
  </si>
  <si>
    <t>Bet on bluechips with pricing pwr</t>
  </si>
  <si>
    <t>Equities back to underperform</t>
  </si>
  <si>
    <t>Bonds sell off, positive rates</t>
  </si>
  <si>
    <t>Higher commodity prices</t>
  </si>
  <si>
    <t>tactical invst on Commdity producers</t>
  </si>
  <si>
    <t>war creating energy crisis</t>
  </si>
  <si>
    <t>Best perf sectors = autos, banks (suffer)</t>
  </si>
  <si>
    <t>impact from war has different channels</t>
  </si>
  <si>
    <t>cautions on EU Eqty; sell vs US</t>
  </si>
  <si>
    <t>landscape change for banks? Net effect</t>
  </si>
  <si>
    <t>Bunds movement overdone?</t>
  </si>
  <si>
    <t>Out of BTP, SPGB, PGB</t>
  </si>
  <si>
    <t>Sell Euro vs USD</t>
  </si>
  <si>
    <t>YC flnrs due to normalization</t>
  </si>
  <si>
    <t>Slughish growth ahead</t>
  </si>
  <si>
    <t>cost of living rising</t>
  </si>
  <si>
    <t>Midlly long equities on recovery</t>
  </si>
  <si>
    <t>Energy + banks play push FTSE</t>
  </si>
  <si>
    <t>Macro   -</t>
  </si>
  <si>
    <t>Buy GBP vs EU</t>
  </si>
  <si>
    <t>slow eco growth on consumer hit</t>
  </si>
  <si>
    <t>ties with Russia and impact on RE?</t>
  </si>
  <si>
    <t>FTSE to continue to overperfom EU</t>
  </si>
  <si>
    <t>GBP = long term bet</t>
  </si>
  <si>
    <t>New fiscal package</t>
  </si>
  <si>
    <t>Ties with Russion cost?</t>
  </si>
  <si>
    <t>Economy weaker</t>
  </si>
  <si>
    <t>Agressive policy</t>
  </si>
  <si>
    <t xml:space="preserve"> L/T prospects ?</t>
  </si>
  <si>
    <t>Buy (cheap)? tech companies</t>
  </si>
  <si>
    <t xml:space="preserve">Macro  </t>
  </si>
  <si>
    <t xml:space="preserve">Fiscal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</si>
</sst>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0.0%"/>
    <numFmt numFmtId="165" formatCode="0.0"/>
    <numFmt numFmtId="166" formatCode="_-* #,##0.00\ [$€-1]_-;\-* #,##0.00\ [$€-1]_-;_-* &quot;-&quot;??\ [$€-1]_-"/>
    <numFmt numFmtId="167" formatCode="0.000"/>
    <numFmt numFmtId="168" formatCode="[$-409]d\-mmm\-yy;@"/>
    <numFmt numFmtId="169" formatCode="_-* #,##0\ _€_-;\-* #,##0\ _€_-;_-* &quot;-&quot;??\ _€_-;_-@_-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8"/>
      <color theme="3"/>
      <name val="Cambria"/>
      <family val="2"/>
      <scheme val="major"/>
    </font>
    <font>
      <i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894">
    <xf numFmtId="0" fontId="0" fillId="0" borderId="0"/>
    <xf numFmtId="9" fontId="1" fillId="0" borderId="0" applyFont="0" applyFill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22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50" borderId="0" applyNumberFormat="0" applyBorder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53" borderId="0" applyNumberFormat="0" applyBorder="0" applyAlignment="0" applyProtection="0"/>
    <xf numFmtId="0" fontId="24" fillId="37" borderId="0" applyNumberFormat="0" applyBorder="0" applyAlignment="0" applyProtection="0"/>
    <xf numFmtId="0" fontId="25" fillId="54" borderId="12" applyNumberFormat="0" applyAlignment="0" applyProtection="0"/>
    <xf numFmtId="0" fontId="26" fillId="55" borderId="13" applyNumberFormat="0" applyAlignment="0" applyProtection="0"/>
    <xf numFmtId="166" fontId="2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38" borderId="0" applyNumberFormat="0" applyBorder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1" fillId="0" borderId="16" applyNumberFormat="0" applyFill="0" applyAlignment="0" applyProtection="0"/>
    <xf numFmtId="0" fontId="31" fillId="0" borderId="0" applyNumberFormat="0" applyFill="0" applyBorder="0" applyAlignment="0" applyProtection="0"/>
    <xf numFmtId="0" fontId="32" fillId="41" borderId="12" applyNumberFormat="0" applyAlignment="0" applyProtection="0"/>
    <xf numFmtId="0" fontId="33" fillId="0" borderId="17" applyNumberFormat="0" applyFill="0" applyAlignment="0" applyProtection="0"/>
    <xf numFmtId="0" fontId="34" fillId="56" borderId="0" applyNumberFormat="0" applyBorder="0" applyAlignment="0" applyProtection="0"/>
    <xf numFmtId="0" fontId="2" fillId="57" borderId="18" applyNumberFormat="0" applyFont="0" applyAlignment="0" applyProtection="0"/>
    <xf numFmtId="0" fontId="35" fillId="54" borderId="19" applyNumberFormat="0" applyAlignment="0" applyProtection="0"/>
    <xf numFmtId="0" fontId="36" fillId="0" borderId="0" applyNumberFormat="0" applyFill="0" applyBorder="0" applyAlignment="0" applyProtection="0"/>
    <xf numFmtId="0" fontId="37" fillId="0" borderId="20" applyNumberFormat="0" applyFill="0" applyAlignment="0" applyProtection="0"/>
    <xf numFmtId="0" fontId="38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2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2" fillId="0" borderId="0"/>
    <xf numFmtId="0" fontId="7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0" borderId="0"/>
    <xf numFmtId="0" fontId="2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2" fillId="0" borderId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28" borderId="0" applyNumberFormat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10" borderId="10" applyNumberFormat="0" applyFont="0" applyAlignment="0" applyProtection="0"/>
    <xf numFmtId="0" fontId="1" fillId="20" borderId="0" applyNumberFormat="0" applyBorder="0" applyAlignment="0" applyProtection="0"/>
    <xf numFmtId="0" fontId="1" fillId="25" borderId="0" applyNumberFormat="0" applyBorder="0" applyAlignment="0" applyProtection="0"/>
    <xf numFmtId="0" fontId="1" fillId="1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10" borderId="10" applyNumberFormat="0" applyFont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10" applyNumberFormat="0" applyFont="0" applyAlignment="0" applyProtection="0"/>
    <xf numFmtId="0" fontId="1" fillId="21" borderId="0" applyNumberFormat="0" applyBorder="0" applyAlignment="0" applyProtection="0"/>
    <xf numFmtId="0" fontId="1" fillId="28" borderId="0" applyNumberFormat="0" applyBorder="0" applyAlignment="0" applyProtection="0"/>
    <xf numFmtId="0" fontId="1" fillId="10" borderId="10" applyNumberFormat="0" applyFont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10" applyNumberFormat="0" applyFont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1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10" borderId="10" applyNumberFormat="0" applyFont="0" applyAlignment="0" applyProtection="0"/>
    <xf numFmtId="0" fontId="1" fillId="2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0" fontId="1" fillId="10" borderId="10" applyNumberFormat="0" applyFont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10" applyNumberFormat="0" applyFont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0" borderId="10" applyNumberFormat="0" applyFont="0" applyAlignment="0" applyProtection="0"/>
    <xf numFmtId="0" fontId="1" fillId="29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25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10" applyNumberFormat="0" applyFont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0" borderId="0"/>
    <xf numFmtId="0" fontId="1" fillId="10" borderId="10" applyNumberFormat="0" applyFont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10" applyNumberFormat="0" applyFont="0" applyAlignment="0" applyProtection="0"/>
    <xf numFmtId="0" fontId="1" fillId="28" borderId="0" applyNumberFormat="0" applyBorder="0" applyAlignment="0" applyProtection="0"/>
    <xf numFmtId="0" fontId="1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1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0" borderId="0"/>
    <xf numFmtId="0" fontId="1" fillId="10" borderId="10" applyNumberFormat="0" applyFont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10" applyNumberFormat="0" applyFont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0" borderId="10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12" borderId="0" applyNumberFormat="0" applyBorder="0" applyAlignment="0" applyProtection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0" borderId="10" applyNumberFormat="0" applyFont="0" applyAlignment="0" applyProtection="0"/>
    <xf numFmtId="0" fontId="1" fillId="24" borderId="0" applyNumberFormat="0" applyBorder="0" applyAlignment="0" applyProtection="0"/>
    <xf numFmtId="0" fontId="1" fillId="10" borderId="10" applyNumberFormat="0" applyFont="0" applyAlignment="0" applyProtection="0"/>
    <xf numFmtId="0" fontId="1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10" borderId="10" applyNumberFormat="0" applyFont="0" applyAlignment="0" applyProtection="0"/>
    <xf numFmtId="0" fontId="1" fillId="16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10" applyNumberFormat="0" applyFont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10" applyNumberFormat="0" applyFont="0" applyAlignment="0" applyProtection="0"/>
    <xf numFmtId="0" fontId="1" fillId="17" borderId="0" applyNumberFormat="0" applyBorder="0" applyAlignment="0" applyProtection="0"/>
    <xf numFmtId="0" fontId="1" fillId="10" borderId="10" applyNumberFormat="0" applyFont="0" applyAlignment="0" applyProtection="0"/>
    <xf numFmtId="0" fontId="1" fillId="13" borderId="0" applyNumberFormat="0" applyBorder="0" applyAlignment="0" applyProtection="0"/>
    <xf numFmtId="0" fontId="1" fillId="10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0" borderId="10" applyNumberFormat="0" applyFont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10" applyNumberFormat="0" applyFont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10" applyNumberFormat="0" applyFont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13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5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7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13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3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10" applyNumberFormat="0" applyFont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5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12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0" borderId="10" applyNumberFormat="0" applyFont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5" borderId="0" applyNumberFormat="0" applyBorder="0" applyAlignment="0" applyProtection="0"/>
    <xf numFmtId="0" fontId="1" fillId="10" borderId="10" applyNumberFormat="0" applyFont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0" borderId="10" applyNumberFormat="0" applyFont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0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10" applyNumberFormat="0" applyFont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12" borderId="0" applyNumberFormat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13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0" borderId="1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10" borderId="10" applyNumberFormat="0" applyFont="0" applyAlignment="0" applyProtection="0"/>
    <xf numFmtId="0" fontId="1" fillId="3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12" borderId="0" applyNumberFormat="0" applyBorder="0" applyAlignment="0" applyProtection="0"/>
    <xf numFmtId="0" fontId="1" fillId="25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2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10" applyNumberFormat="0" applyFont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10" borderId="10" applyNumberFormat="0" applyFont="0" applyAlignment="0" applyProtection="0"/>
    <xf numFmtId="0" fontId="1" fillId="29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10" applyNumberFormat="0" applyFont="0" applyAlignment="0" applyProtection="0"/>
    <xf numFmtId="0" fontId="1" fillId="25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10" applyNumberFormat="0" applyFont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10" applyNumberFormat="0" applyFont="0" applyAlignment="0" applyProtection="0"/>
    <xf numFmtId="0" fontId="1" fillId="2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10" borderId="10" applyNumberFormat="0" applyFont="0" applyAlignment="0" applyProtection="0"/>
    <xf numFmtId="0" fontId="1" fillId="17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29" borderId="0" applyNumberFormat="0" applyBorder="0" applyAlignment="0" applyProtection="0"/>
    <xf numFmtId="0" fontId="2" fillId="0" borderId="0"/>
    <xf numFmtId="0" fontId="1" fillId="10" borderId="10" applyNumberFormat="0" applyFont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0" borderId="10" applyNumberFormat="0" applyFont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10" applyNumberFormat="0" applyFont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28" borderId="0" applyNumberFormat="0" applyBorder="0" applyAlignment="0" applyProtection="0"/>
    <xf numFmtId="0" fontId="1" fillId="10" borderId="1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25" borderId="0" applyNumberFormat="0" applyBorder="0" applyAlignment="0" applyProtection="0"/>
    <xf numFmtId="0" fontId="1" fillId="12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10" applyNumberFormat="0" applyFont="0" applyAlignment="0" applyProtection="0"/>
    <xf numFmtId="0" fontId="1" fillId="21" borderId="0" applyNumberFormat="0" applyBorder="0" applyAlignment="0" applyProtection="0"/>
    <xf numFmtId="0" fontId="1" fillId="10" borderId="10" applyNumberFormat="0" applyFont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7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10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0" borderId="10" applyNumberFormat="0" applyFont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10" borderId="10" applyNumberFormat="0" applyFont="0" applyAlignment="0" applyProtection="0"/>
    <xf numFmtId="0" fontId="1" fillId="20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10" borderId="10" applyNumberFormat="0" applyFont="0" applyAlignment="0" applyProtection="0"/>
    <xf numFmtId="0" fontId="1" fillId="24" borderId="0" applyNumberFormat="0" applyBorder="0" applyAlignment="0" applyProtection="0"/>
    <xf numFmtId="0" fontId="1" fillId="10" borderId="10" applyNumberFormat="0" applyFont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10" applyNumberFormat="0" applyFont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10" applyNumberFormat="0" applyFont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10" borderId="10" applyNumberFormat="0" applyFont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10" applyNumberFormat="0" applyFont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0" borderId="10" applyNumberFormat="0" applyFont="0" applyAlignment="0" applyProtection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10" applyNumberFormat="0" applyFont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10" applyNumberFormat="0" applyFont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10" borderId="10" applyNumberFormat="0" applyFont="0" applyAlignment="0" applyProtection="0"/>
    <xf numFmtId="0" fontId="1" fillId="3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12" borderId="0" applyNumberFormat="0" applyBorder="0" applyAlignment="0" applyProtection="0"/>
    <xf numFmtId="0" fontId="1" fillId="25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2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10" applyNumberFormat="0" applyFont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10" borderId="10" applyNumberFormat="0" applyFont="0" applyAlignment="0" applyProtection="0"/>
    <xf numFmtId="0" fontId="1" fillId="29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10" applyNumberFormat="0" applyFont="0" applyAlignment="0" applyProtection="0"/>
    <xf numFmtId="0" fontId="1" fillId="25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10" applyNumberFormat="0" applyFont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10" borderId="10" applyNumberFormat="0" applyFont="0" applyAlignment="0" applyProtection="0"/>
    <xf numFmtId="0" fontId="1" fillId="17" borderId="0" applyNumberFormat="0" applyBorder="0" applyAlignment="0" applyProtection="0"/>
    <xf numFmtId="0" fontId="1" fillId="10" borderId="10" applyNumberFormat="0" applyFont="0" applyAlignment="0" applyProtection="0"/>
    <xf numFmtId="0" fontId="1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29" borderId="0" applyNumberFormat="0" applyBorder="0" applyAlignment="0" applyProtection="0"/>
    <xf numFmtId="0" fontId="2" fillId="0" borderId="0"/>
    <xf numFmtId="0" fontId="1" fillId="10" borderId="10" applyNumberFormat="0" applyFont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10" borderId="10" applyNumberFormat="0" applyFont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10" applyNumberFormat="0" applyFont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25" borderId="0" applyNumberFormat="0" applyBorder="0" applyAlignment="0" applyProtection="0"/>
    <xf numFmtId="0" fontId="1" fillId="12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10" applyNumberFormat="0" applyFont="0" applyAlignment="0" applyProtection="0"/>
    <xf numFmtId="0" fontId="1" fillId="21" borderId="0" applyNumberFormat="0" applyBorder="0" applyAlignment="0" applyProtection="0"/>
    <xf numFmtId="0" fontId="1" fillId="10" borderId="10" applyNumberFormat="0" applyFont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10" applyNumberFormat="0" applyFont="0" applyAlignment="0" applyProtection="0"/>
    <xf numFmtId="0" fontId="1" fillId="17" borderId="0" applyNumberFormat="0" applyBorder="0" applyAlignment="0" applyProtection="0"/>
    <xf numFmtId="0" fontId="1" fillId="25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10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0" borderId="10" applyNumberFormat="0" applyFont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10" borderId="10" applyNumberFormat="0" applyFont="0" applyAlignment="0" applyProtection="0"/>
    <xf numFmtId="0" fontId="1" fillId="20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10" applyNumberFormat="0" applyFont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10" applyNumberFormat="0" applyFont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10" borderId="10" applyNumberFormat="0" applyFont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0" borderId="10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10" applyNumberFormat="0" applyFont="0" applyAlignment="0" applyProtection="0"/>
    <xf numFmtId="0" fontId="1" fillId="17" borderId="0" applyNumberFormat="0" applyBorder="0" applyAlignment="0" applyProtection="0"/>
    <xf numFmtId="0" fontId="1" fillId="10" borderId="10" applyNumberFormat="0" applyFont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12" borderId="0" applyNumberFormat="0" applyBorder="0" applyAlignment="0" applyProtection="0"/>
    <xf numFmtId="0" fontId="1" fillId="25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10" applyNumberFormat="0" applyFont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0" borderId="10" applyNumberFormat="0" applyFont="0" applyAlignment="0" applyProtection="0"/>
    <xf numFmtId="0" fontId="1" fillId="25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10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10" borderId="10" applyNumberFormat="0" applyFont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10" borderId="10" applyNumberFormat="0" applyFont="0" applyAlignment="0" applyProtection="0"/>
    <xf numFmtId="0" fontId="1" fillId="17" borderId="0" applyNumberFormat="0" applyBorder="0" applyAlignment="0" applyProtection="0"/>
    <xf numFmtId="0" fontId="1" fillId="10" borderId="10" applyNumberFormat="0" applyFont="0" applyAlignment="0" applyProtection="0"/>
    <xf numFmtId="0" fontId="1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29" borderId="0" applyNumberFormat="0" applyBorder="0" applyAlignment="0" applyProtection="0"/>
    <xf numFmtId="0" fontId="2" fillId="0" borderId="0"/>
    <xf numFmtId="0" fontId="1" fillId="10" borderId="10" applyNumberFormat="0" applyFont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10" borderId="10" applyNumberFormat="0" applyFont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10" applyNumberFormat="0" applyFont="0" applyAlignment="0" applyProtection="0"/>
    <xf numFmtId="0" fontId="1" fillId="20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10" applyNumberFormat="0" applyFont="0" applyAlignment="0" applyProtection="0"/>
    <xf numFmtId="0" fontId="1" fillId="21" borderId="0" applyNumberFormat="0" applyBorder="0" applyAlignment="0" applyProtection="0"/>
    <xf numFmtId="0" fontId="1" fillId="10" borderId="10" applyNumberFormat="0" applyFont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10" applyNumberFormat="0" applyFont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10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10" borderId="10" applyNumberFormat="0" applyFont="0" applyAlignment="0" applyProtection="0"/>
    <xf numFmtId="0" fontId="1" fillId="20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10" applyNumberFormat="0" applyFont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10" applyNumberFormat="0" applyFont="0" applyAlignment="0" applyProtection="0"/>
    <xf numFmtId="0" fontId="1" fillId="28" borderId="0" applyNumberFormat="0" applyBorder="0" applyAlignment="0" applyProtection="0"/>
    <xf numFmtId="0" fontId="1" fillId="10" borderId="10" applyNumberFormat="0" applyFont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0" borderId="10" applyNumberFormat="0" applyFont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0" borderId="10" applyNumberFormat="0" applyFont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0" borderId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0" borderId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0" borderId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39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3" fontId="1" fillId="0" borderId="0" applyFont="0" applyFill="0" applyBorder="0" applyAlignment="0" applyProtection="0"/>
    <xf numFmtId="168" fontId="2" fillId="0" borderId="0"/>
  </cellStyleXfs>
  <cellXfs count="8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2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3" borderId="0" xfId="0" applyNumberFormat="1" applyFill="1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3" fillId="0" borderId="0" xfId="0" applyFont="1"/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3" borderId="0" xfId="0" applyFill="1" applyAlignment="1">
      <alignment horizontal="center"/>
    </xf>
    <xf numFmtId="3" fontId="0" fillId="0" borderId="0" xfId="0" applyNumberFormat="1" applyAlignment="1">
      <alignment horizontal="center"/>
    </xf>
    <xf numFmtId="0" fontId="6" fillId="3" borderId="0" xfId="0" applyFont="1" applyFill="1" applyAlignment="1">
      <alignment horizontal="center"/>
    </xf>
    <xf numFmtId="165" fontId="0" fillId="0" borderId="0" xfId="0" applyNumberFormat="1"/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/>
    <xf numFmtId="165" fontId="0" fillId="58" borderId="0" xfId="0" applyNumberFormat="1" applyFill="1" applyAlignment="1">
      <alignment horizontal="center"/>
    </xf>
    <xf numFmtId="165" fontId="0" fillId="35" borderId="0" xfId="0" applyNumberFormat="1" applyFill="1" applyAlignment="1">
      <alignment horizontal="center"/>
    </xf>
    <xf numFmtId="0" fontId="4" fillId="0" borderId="0" xfId="0" applyFont="1" applyAlignment="1">
      <alignment horizontal="left"/>
    </xf>
    <xf numFmtId="2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22" xfId="0" applyNumberForma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165" fontId="0" fillId="0" borderId="21" xfId="0" applyNumberFormat="1" applyBorder="1" applyAlignment="1">
      <alignment horizontal="center"/>
    </xf>
    <xf numFmtId="165" fontId="0" fillId="0" borderId="23" xfId="0" applyNumberFormat="1" applyBorder="1" applyAlignment="1">
      <alignment horizontal="center"/>
    </xf>
    <xf numFmtId="9" fontId="0" fillId="0" borderId="23" xfId="1" applyFont="1" applyBorder="1" applyAlignment="1">
      <alignment horizontal="center"/>
    </xf>
    <xf numFmtId="165" fontId="0" fillId="35" borderId="21" xfId="0" applyNumberFormat="1" applyFill="1" applyBorder="1" applyAlignment="1">
      <alignment horizontal="center"/>
    </xf>
    <xf numFmtId="168" fontId="2" fillId="0" borderId="0" xfId="4893"/>
    <xf numFmtId="1" fontId="2" fillId="0" borderId="0" xfId="4893" applyNumberFormat="1"/>
    <xf numFmtId="168" fontId="2" fillId="0" borderId="0" xfId="4893" applyAlignment="1">
      <alignment horizontal="center"/>
    </xf>
    <xf numFmtId="1" fontId="2" fillId="0" borderId="0" xfId="4893" applyNumberFormat="1" applyAlignment="1">
      <alignment horizontal="center"/>
    </xf>
    <xf numFmtId="9" fontId="1" fillId="0" borderId="0" xfId="1" applyAlignment="1">
      <alignment horizontal="center"/>
    </xf>
    <xf numFmtId="165" fontId="2" fillId="0" borderId="0" xfId="4893" applyNumberFormat="1" applyAlignment="1">
      <alignment horizontal="center"/>
    </xf>
    <xf numFmtId="2" fontId="2" fillId="0" borderId="0" xfId="4893" applyNumberFormat="1" applyAlignment="1">
      <alignment horizontal="center"/>
    </xf>
    <xf numFmtId="168" fontId="2" fillId="0" borderId="0" xfId="4893" applyAlignment="1">
      <alignment horizontal="left"/>
    </xf>
    <xf numFmtId="169" fontId="1" fillId="0" borderId="0" xfId="4892" applyNumberFormat="1"/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quotePrefix="1"/>
    <xf numFmtId="167" fontId="0" fillId="0" borderId="0" xfId="0" applyNumberFormat="1" applyAlignment="1">
      <alignment horizontal="center"/>
    </xf>
    <xf numFmtId="167" fontId="0" fillId="3" borderId="0" xfId="0" applyNumberFormat="1" applyFill="1" applyAlignment="1">
      <alignment horizontal="center"/>
    </xf>
    <xf numFmtId="168" fontId="2" fillId="0" borderId="2" xfId="4893" applyBorder="1"/>
    <xf numFmtId="168" fontId="2" fillId="0" borderId="2" xfId="4893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0" borderId="0" xfId="0" applyFont="1" applyAlignment="1">
      <alignment horizontal="center"/>
    </xf>
    <xf numFmtId="3" fontId="0" fillId="3" borderId="0" xfId="0" applyNumberFormat="1" applyFill="1"/>
    <xf numFmtId="3" fontId="0" fillId="3" borderId="0" xfId="0" applyNumberFormat="1" applyFill="1" applyAlignment="1">
      <alignment horizontal="center"/>
    </xf>
    <xf numFmtId="2" fontId="40" fillId="0" borderId="0" xfId="0" applyNumberFormat="1" applyFont="1"/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24" xfId="0" applyFont="1" applyBorder="1"/>
    <xf numFmtId="0" fontId="4" fillId="0" borderId="24" xfId="0" applyFont="1" applyBorder="1" applyAlignment="1">
      <alignment horizontal="center"/>
    </xf>
    <xf numFmtId="165" fontId="0" fillId="0" borderId="23" xfId="0" applyNumberFormat="1" applyFill="1" applyBorder="1" applyAlignment="1">
      <alignment horizontal="center"/>
    </xf>
    <xf numFmtId="165" fontId="0" fillId="0" borderId="0" xfId="0" applyNumberFormat="1" applyFill="1" applyAlignment="1">
      <alignment horizontal="center"/>
    </xf>
    <xf numFmtId="3" fontId="0" fillId="58" borderId="23" xfId="0" applyNumberFormat="1" applyFill="1" applyBorder="1" applyAlignment="1">
      <alignment horizontal="center"/>
    </xf>
    <xf numFmtId="3" fontId="0" fillId="35" borderId="23" xfId="0" applyNumberFormat="1" applyFill="1" applyBorder="1" applyAlignment="1">
      <alignment horizontal="center"/>
    </xf>
    <xf numFmtId="167" fontId="40" fillId="0" borderId="0" xfId="0" applyNumberFormat="1" applyFont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58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4894">
    <cellStyle name="20% - Accent1 10" xfId="572"/>
    <cellStyle name="20% - Accent1 10 2" xfId="865"/>
    <cellStyle name="20% - Accent1 10 2 2" xfId="1810"/>
    <cellStyle name="20% - Accent1 10 2 3" xfId="2416"/>
    <cellStyle name="20% - Accent1 10 2 4" xfId="2970"/>
    <cellStyle name="20% - Accent1 10 2 5" xfId="3482"/>
    <cellStyle name="20% - Accent1 10 2 6" xfId="3906"/>
    <cellStyle name="20% - Accent1 10 3" xfId="1519"/>
    <cellStyle name="20% - Accent1 10 4" xfId="2126"/>
    <cellStyle name="20% - Accent1 10 5" xfId="2682"/>
    <cellStyle name="20% - Accent1 10 6" xfId="3197"/>
    <cellStyle name="20% - Accent1 10 7" xfId="3625"/>
    <cellStyle name="20% - Accent1 11" xfId="896"/>
    <cellStyle name="20% - Accent1 11 2" xfId="1838"/>
    <cellStyle name="20% - Accent1 11 3" xfId="2447"/>
    <cellStyle name="20% - Accent1 11 4" xfId="2998"/>
    <cellStyle name="20% - Accent1 11 5" xfId="3508"/>
    <cellStyle name="20% - Accent1 11 6" xfId="3920"/>
    <cellStyle name="20% - Accent1 12" xfId="937"/>
    <cellStyle name="20% - Accent1 12 2" xfId="1877"/>
    <cellStyle name="20% - Accent1 12 3" xfId="2487"/>
    <cellStyle name="20% - Accent1 12 4" xfId="3034"/>
    <cellStyle name="20% - Accent1 12 5" xfId="3539"/>
    <cellStyle name="20% - Accent1 12 6" xfId="3933"/>
    <cellStyle name="20% - Accent1 13" xfId="1918"/>
    <cellStyle name="20% - Accent1 14" xfId="3964"/>
    <cellStyle name="20% - Accent1 15" xfId="4005"/>
    <cellStyle name="20% - Accent1 16" xfId="4046"/>
    <cellStyle name="20% - Accent1 17" xfId="4087"/>
    <cellStyle name="20% - Accent1 18" xfId="4128"/>
    <cellStyle name="20% - Accent1 19" xfId="4169"/>
    <cellStyle name="20% - Accent1 2" xfId="2"/>
    <cellStyle name="20% - Accent1 2 10" xfId="3501"/>
    <cellStyle name="20% - Accent1 2 2" xfId="96"/>
    <cellStyle name="20% - Accent1 2 2 2" xfId="161"/>
    <cellStyle name="20% - Accent1 2 2 2 2" xfId="250"/>
    <cellStyle name="20% - Accent1 2 2 2 2 2" xfId="756"/>
    <cellStyle name="20% - Accent1 2 2 2 2 2 2" xfId="1701"/>
    <cellStyle name="20% - Accent1 2 2 2 2 2 3" xfId="2307"/>
    <cellStyle name="20% - Accent1 2 2 2 2 2 4" xfId="2861"/>
    <cellStyle name="20% - Accent1 2 2 2 2 2 5" xfId="3373"/>
    <cellStyle name="20% - Accent1 2 2 2 2 2 6" xfId="3797"/>
    <cellStyle name="20% - Accent1 2 2 2 2 3" xfId="1213"/>
    <cellStyle name="20% - Accent1 2 2 2 2 4" xfId="981"/>
    <cellStyle name="20% - Accent1 2 2 2 2 5" xfId="1253"/>
    <cellStyle name="20% - Accent1 2 2 2 2 6" xfId="1290"/>
    <cellStyle name="20% - Accent1 2 2 2 2 7" xfId="1950"/>
    <cellStyle name="20% - Accent1 2 2 2 3" xfId="668"/>
    <cellStyle name="20% - Accent1 2 2 2 3 2" xfId="1613"/>
    <cellStyle name="20% - Accent1 2 2 2 3 3" xfId="2219"/>
    <cellStyle name="20% - Accent1 2 2 2 3 4" xfId="2773"/>
    <cellStyle name="20% - Accent1 2 2 2 3 5" xfId="3285"/>
    <cellStyle name="20% - Accent1 2 2 2 3 6" xfId="3709"/>
    <cellStyle name="20% - Accent1 2 2 2 4" xfId="1124"/>
    <cellStyle name="20% - Accent1 2 2 2 5" xfId="1828"/>
    <cellStyle name="20% - Accent1 2 2 2 6" xfId="2430"/>
    <cellStyle name="20% - Accent1 2 2 2 7" xfId="2984"/>
    <cellStyle name="20% - Accent1 2 2 2 8" xfId="3495"/>
    <cellStyle name="20% - Accent1 2 2 3" xfId="206"/>
    <cellStyle name="20% - Accent1 2 2 3 2" xfId="712"/>
    <cellStyle name="20% - Accent1 2 2 3 2 2" xfId="1657"/>
    <cellStyle name="20% - Accent1 2 2 3 2 3" xfId="2263"/>
    <cellStyle name="20% - Accent1 2 2 3 2 4" xfId="2817"/>
    <cellStyle name="20% - Accent1 2 2 3 2 5" xfId="3329"/>
    <cellStyle name="20% - Accent1 2 2 3 2 6" xfId="3753"/>
    <cellStyle name="20% - Accent1 2 2 3 3" xfId="1169"/>
    <cellStyle name="20% - Accent1 2 2 3 4" xfId="1353"/>
    <cellStyle name="20% - Accent1 2 2 3 5" xfId="2080"/>
    <cellStyle name="20% - Accent1 2 2 3 6" xfId="2642"/>
    <cellStyle name="20% - Accent1 2 2 3 7" xfId="3163"/>
    <cellStyle name="20% - Accent1 2 2 4" xfId="624"/>
    <cellStyle name="20% - Accent1 2 2 4 2" xfId="1569"/>
    <cellStyle name="20% - Accent1 2 2 4 3" xfId="2175"/>
    <cellStyle name="20% - Accent1 2 2 4 4" xfId="2729"/>
    <cellStyle name="20% - Accent1 2 2 4 5" xfId="3241"/>
    <cellStyle name="20% - Accent1 2 2 4 6" xfId="3665"/>
    <cellStyle name="20% - Accent1 2 2 5" xfId="1080"/>
    <cellStyle name="20% - Accent1 2 2 6" xfId="1430"/>
    <cellStyle name="20% - Accent1 2 2 7" xfId="1455"/>
    <cellStyle name="20% - Accent1 2 2 8" xfId="2033"/>
    <cellStyle name="20% - Accent1 2 2 9" xfId="2597"/>
    <cellStyle name="20% - Accent1 2 3" xfId="139"/>
    <cellStyle name="20% - Accent1 2 3 2" xfId="228"/>
    <cellStyle name="20% - Accent1 2 3 2 2" xfId="734"/>
    <cellStyle name="20% - Accent1 2 3 2 2 2" xfId="1679"/>
    <cellStyle name="20% - Accent1 2 3 2 2 3" xfId="2285"/>
    <cellStyle name="20% - Accent1 2 3 2 2 4" xfId="2839"/>
    <cellStyle name="20% - Accent1 2 3 2 2 5" xfId="3351"/>
    <cellStyle name="20% - Accent1 2 3 2 2 6" xfId="3775"/>
    <cellStyle name="20% - Accent1 2 3 2 3" xfId="1191"/>
    <cellStyle name="20% - Accent1 2 3 2 4" xfId="1456"/>
    <cellStyle name="20% - Accent1 2 3 2 5" xfId="2475"/>
    <cellStyle name="20% - Accent1 2 3 2 6" xfId="3026"/>
    <cellStyle name="20% - Accent1 2 3 2 7" xfId="3531"/>
    <cellStyle name="20% - Accent1 2 3 3" xfId="646"/>
    <cellStyle name="20% - Accent1 2 3 3 2" xfId="1591"/>
    <cellStyle name="20% - Accent1 2 3 3 3" xfId="2197"/>
    <cellStyle name="20% - Accent1 2 3 3 4" xfId="2751"/>
    <cellStyle name="20% - Accent1 2 3 3 5" xfId="3263"/>
    <cellStyle name="20% - Accent1 2 3 3 6" xfId="3687"/>
    <cellStyle name="20% - Accent1 2 3 4" xfId="1102"/>
    <cellStyle name="20% - Accent1 2 3 5" xfId="992"/>
    <cellStyle name="20% - Accent1 2 3 6" xfId="2036"/>
    <cellStyle name="20% - Accent1 2 3 7" xfId="2600"/>
    <cellStyle name="20% - Accent1 2 3 8" xfId="3127"/>
    <cellStyle name="20% - Accent1 2 4" xfId="184"/>
    <cellStyle name="20% - Accent1 2 4 2" xfId="690"/>
    <cellStyle name="20% - Accent1 2 4 2 2" xfId="1635"/>
    <cellStyle name="20% - Accent1 2 4 2 3" xfId="2241"/>
    <cellStyle name="20% - Accent1 2 4 2 4" xfId="2795"/>
    <cellStyle name="20% - Accent1 2 4 2 5" xfId="3307"/>
    <cellStyle name="20% - Accent1 2 4 2 6" xfId="3731"/>
    <cellStyle name="20% - Accent1 2 4 3" xfId="1147"/>
    <cellStyle name="20% - Accent1 2 4 4" xfId="1280"/>
    <cellStyle name="20% - Accent1 2 4 5" xfId="1474"/>
    <cellStyle name="20% - Accent1 2 4 6" xfId="1276"/>
    <cellStyle name="20% - Accent1 2 4 7" xfId="2078"/>
    <cellStyle name="20% - Accent1 2 5" xfId="602"/>
    <cellStyle name="20% - Accent1 2 5 2" xfId="1547"/>
    <cellStyle name="20% - Accent1 2 5 3" xfId="2153"/>
    <cellStyle name="20% - Accent1 2 5 4" xfId="2707"/>
    <cellStyle name="20% - Accent1 2 5 5" xfId="3219"/>
    <cellStyle name="20% - Accent1 2 5 6" xfId="3643"/>
    <cellStyle name="20% - Accent1 2 6" xfId="1046"/>
    <cellStyle name="20% - Accent1 2 7" xfId="1357"/>
    <cellStyle name="20% - Accent1 2 8" xfId="2436"/>
    <cellStyle name="20% - Accent1 2 9" xfId="2990"/>
    <cellStyle name="20% - Accent1 20" xfId="4210"/>
    <cellStyle name="20% - Accent1 21" xfId="4251"/>
    <cellStyle name="20% - Accent1 22" xfId="4292"/>
    <cellStyle name="20% - Accent1 23" xfId="4334"/>
    <cellStyle name="20% - Accent1 24" xfId="4375"/>
    <cellStyle name="20% - Accent1 25" xfId="4416"/>
    <cellStyle name="20% - Accent1 26" xfId="4457"/>
    <cellStyle name="20% - Accent1 27" xfId="4498"/>
    <cellStyle name="20% - Accent1 28" xfId="4539"/>
    <cellStyle name="20% - Accent1 29" xfId="4580"/>
    <cellStyle name="20% - Accent1 3" xfId="285"/>
    <cellStyle name="20% - Accent1 3 2" xfId="774"/>
    <cellStyle name="20% - Accent1 3 2 2" xfId="1719"/>
    <cellStyle name="20% - Accent1 3 2 3" xfId="2325"/>
    <cellStyle name="20% - Accent1 3 2 4" xfId="2879"/>
    <cellStyle name="20% - Accent1 3 2 5" xfId="3391"/>
    <cellStyle name="20% - Accent1 3 2 6" xfId="3815"/>
    <cellStyle name="20% - Accent1 3 3" xfId="1247"/>
    <cellStyle name="20% - Accent1 3 4" xfId="1518"/>
    <cellStyle name="20% - Accent1 3 5" xfId="2051"/>
    <cellStyle name="20% - Accent1 3 6" xfId="2615"/>
    <cellStyle name="20% - Accent1 3 7" xfId="3141"/>
    <cellStyle name="20% - Accent1 30" xfId="4622"/>
    <cellStyle name="20% - Accent1 31" xfId="4664"/>
    <cellStyle name="20% - Accent1 32" xfId="4705"/>
    <cellStyle name="20% - Accent1 33" xfId="4746"/>
    <cellStyle name="20% - Accent1 34" xfId="4787"/>
    <cellStyle name="20% - Accent1 35" xfId="4828"/>
    <cellStyle name="20% - Accent1 36" xfId="4869"/>
    <cellStyle name="20% - Accent1 4" xfId="326"/>
    <cellStyle name="20% - Accent1 4 2" xfId="787"/>
    <cellStyle name="20% - Accent1 4 2 2" xfId="1732"/>
    <cellStyle name="20% - Accent1 4 2 3" xfId="2338"/>
    <cellStyle name="20% - Accent1 4 2 4" xfId="2892"/>
    <cellStyle name="20% - Accent1 4 2 5" xfId="3404"/>
    <cellStyle name="20% - Accent1 4 2 6" xfId="3828"/>
    <cellStyle name="20% - Accent1 4 3" xfId="1284"/>
    <cellStyle name="20% - Accent1 4 4" xfId="1374"/>
    <cellStyle name="20% - Accent1 4 5" xfId="1990"/>
    <cellStyle name="20% - Accent1 4 6" xfId="2556"/>
    <cellStyle name="20% - Accent1 4 7" xfId="3094"/>
    <cellStyle name="20% - Accent1 5" xfId="367"/>
    <cellStyle name="20% - Accent1 5 2" xfId="800"/>
    <cellStyle name="20% - Accent1 5 2 2" xfId="1745"/>
    <cellStyle name="20% - Accent1 5 2 3" xfId="2351"/>
    <cellStyle name="20% - Accent1 5 2 4" xfId="2905"/>
    <cellStyle name="20% - Accent1 5 2 5" xfId="3417"/>
    <cellStyle name="20% - Accent1 5 2 6" xfId="3841"/>
    <cellStyle name="20% - Accent1 5 3" xfId="1324"/>
    <cellStyle name="20% - Accent1 5 4" xfId="964"/>
    <cellStyle name="20% - Accent1 5 5" xfId="1847"/>
    <cellStyle name="20% - Accent1 5 6" xfId="2503"/>
    <cellStyle name="20% - Accent1 5 7" xfId="3049"/>
    <cellStyle name="20% - Accent1 6" xfId="408"/>
    <cellStyle name="20% - Accent1 6 2" xfId="813"/>
    <cellStyle name="20% - Accent1 6 2 2" xfId="1758"/>
    <cellStyle name="20% - Accent1 6 2 3" xfId="2364"/>
    <cellStyle name="20% - Accent1 6 2 4" xfId="2918"/>
    <cellStyle name="20% - Accent1 6 2 5" xfId="3430"/>
    <cellStyle name="20% - Accent1 6 2 6" xfId="3854"/>
    <cellStyle name="20% - Accent1 6 3" xfId="1364"/>
    <cellStyle name="20% - Accent1 6 4" xfId="1974"/>
    <cellStyle name="20% - Accent1 6 5" xfId="2526"/>
    <cellStyle name="20% - Accent1 6 6" xfId="3068"/>
    <cellStyle name="20% - Accent1 6 7" xfId="3568"/>
    <cellStyle name="20% - Accent1 7" xfId="449"/>
    <cellStyle name="20% - Accent1 7 2" xfId="826"/>
    <cellStyle name="20% - Accent1 7 2 2" xfId="1771"/>
    <cellStyle name="20% - Accent1 7 2 3" xfId="2377"/>
    <cellStyle name="20% - Accent1 7 2 4" xfId="2931"/>
    <cellStyle name="20% - Accent1 7 2 5" xfId="3443"/>
    <cellStyle name="20% - Accent1 7 2 6" xfId="3867"/>
    <cellStyle name="20% - Accent1 7 3" xfId="1404"/>
    <cellStyle name="20% - Accent1 7 4" xfId="2011"/>
    <cellStyle name="20% - Accent1 7 5" xfId="2576"/>
    <cellStyle name="20% - Accent1 7 6" xfId="3109"/>
    <cellStyle name="20% - Accent1 7 7" xfId="3586"/>
    <cellStyle name="20% - Accent1 8" xfId="490"/>
    <cellStyle name="20% - Accent1 8 2" xfId="839"/>
    <cellStyle name="20% - Accent1 8 2 2" xfId="1784"/>
    <cellStyle name="20% - Accent1 8 2 3" xfId="2390"/>
    <cellStyle name="20% - Accent1 8 2 4" xfId="2944"/>
    <cellStyle name="20% - Accent1 8 2 5" xfId="3456"/>
    <cellStyle name="20% - Accent1 8 2 6" xfId="3880"/>
    <cellStyle name="20% - Accent1 8 3" xfId="1441"/>
    <cellStyle name="20% - Accent1 8 4" xfId="2048"/>
    <cellStyle name="20% - Accent1 8 5" xfId="2612"/>
    <cellStyle name="20% - Accent1 8 6" xfId="3138"/>
    <cellStyle name="20% - Accent1 8 7" xfId="3599"/>
    <cellStyle name="20% - Accent1 9" xfId="531"/>
    <cellStyle name="20% - Accent1 9 2" xfId="852"/>
    <cellStyle name="20% - Accent1 9 2 2" xfId="1797"/>
    <cellStyle name="20% - Accent1 9 2 3" xfId="2403"/>
    <cellStyle name="20% - Accent1 9 2 4" xfId="2957"/>
    <cellStyle name="20% - Accent1 9 2 5" xfId="3469"/>
    <cellStyle name="20% - Accent1 9 2 6" xfId="3893"/>
    <cellStyle name="20% - Accent1 9 3" xfId="1479"/>
    <cellStyle name="20% - Accent1 9 4" xfId="2088"/>
    <cellStyle name="20% - Accent1 9 5" xfId="2649"/>
    <cellStyle name="20% - Accent1 9 6" xfId="3169"/>
    <cellStyle name="20% - Accent1 9 7" xfId="3612"/>
    <cellStyle name="20% - Accent2 10" xfId="576"/>
    <cellStyle name="20% - Accent2 10 2" xfId="867"/>
    <cellStyle name="20% - Accent2 10 2 2" xfId="1812"/>
    <cellStyle name="20% - Accent2 10 2 3" xfId="2418"/>
    <cellStyle name="20% - Accent2 10 2 4" xfId="2972"/>
    <cellStyle name="20% - Accent2 10 2 5" xfId="3484"/>
    <cellStyle name="20% - Accent2 10 2 6" xfId="3908"/>
    <cellStyle name="20% - Accent2 10 3" xfId="1523"/>
    <cellStyle name="20% - Accent2 10 4" xfId="2130"/>
    <cellStyle name="20% - Accent2 10 5" xfId="2685"/>
    <cellStyle name="20% - Accent2 10 6" xfId="3199"/>
    <cellStyle name="20% - Accent2 10 7" xfId="3627"/>
    <cellStyle name="20% - Accent2 11" xfId="900"/>
    <cellStyle name="20% - Accent2 11 2" xfId="1841"/>
    <cellStyle name="20% - Accent2 11 3" xfId="2451"/>
    <cellStyle name="20% - Accent2 11 4" xfId="3002"/>
    <cellStyle name="20% - Accent2 11 5" xfId="3511"/>
    <cellStyle name="20% - Accent2 11 6" xfId="3922"/>
    <cellStyle name="20% - Accent2 12" xfId="941"/>
    <cellStyle name="20% - Accent2 12 2" xfId="1881"/>
    <cellStyle name="20% - Accent2 12 3" xfId="2491"/>
    <cellStyle name="20% - Accent2 12 4" xfId="3038"/>
    <cellStyle name="20% - Accent2 12 5" xfId="3543"/>
    <cellStyle name="20% - Accent2 12 6" xfId="3935"/>
    <cellStyle name="20% - Accent2 13" xfId="1922"/>
    <cellStyle name="20% - Accent2 14" xfId="3968"/>
    <cellStyle name="20% - Accent2 15" xfId="4009"/>
    <cellStyle name="20% - Accent2 16" xfId="4050"/>
    <cellStyle name="20% - Accent2 17" xfId="4091"/>
    <cellStyle name="20% - Accent2 18" xfId="4132"/>
    <cellStyle name="20% - Accent2 19" xfId="4173"/>
    <cellStyle name="20% - Accent2 2" xfId="3"/>
    <cellStyle name="20% - Accent2 2 10" xfId="3134"/>
    <cellStyle name="20% - Accent2 2 2" xfId="100"/>
    <cellStyle name="20% - Accent2 2 2 2" xfId="163"/>
    <cellStyle name="20% - Accent2 2 2 2 2" xfId="252"/>
    <cellStyle name="20% - Accent2 2 2 2 2 2" xfId="758"/>
    <cellStyle name="20% - Accent2 2 2 2 2 2 2" xfId="1703"/>
    <cellStyle name="20% - Accent2 2 2 2 2 2 3" xfId="2309"/>
    <cellStyle name="20% - Accent2 2 2 2 2 2 4" xfId="2863"/>
    <cellStyle name="20% - Accent2 2 2 2 2 2 5" xfId="3375"/>
    <cellStyle name="20% - Accent2 2 2 2 2 2 6" xfId="3799"/>
    <cellStyle name="20% - Accent2 2 2 2 2 3" xfId="1215"/>
    <cellStyle name="20% - Accent2 2 2 2 2 4" xfId="1448"/>
    <cellStyle name="20% - Accent2 2 2 2 2 5" xfId="1238"/>
    <cellStyle name="20% - Accent2 2 2 2 2 6" xfId="1434"/>
    <cellStyle name="20% - Accent2 2 2 2 2 7" xfId="1239"/>
    <cellStyle name="20% - Accent2 2 2 2 3" xfId="670"/>
    <cellStyle name="20% - Accent2 2 2 2 3 2" xfId="1615"/>
    <cellStyle name="20% - Accent2 2 2 2 3 3" xfId="2221"/>
    <cellStyle name="20% - Accent2 2 2 2 3 4" xfId="2775"/>
    <cellStyle name="20% - Accent2 2 2 2 3 5" xfId="3287"/>
    <cellStyle name="20% - Accent2 2 2 2 3 6" xfId="3711"/>
    <cellStyle name="20% - Accent2 2 2 2 4" xfId="1126"/>
    <cellStyle name="20% - Accent2 2 2 2 5" xfId="990"/>
    <cellStyle name="20% - Accent2 2 2 2 6" xfId="1823"/>
    <cellStyle name="20% - Accent2 2 2 2 7" xfId="1005"/>
    <cellStyle name="20% - Accent2 2 2 2 8" xfId="1018"/>
    <cellStyle name="20% - Accent2 2 2 3" xfId="208"/>
    <cellStyle name="20% - Accent2 2 2 3 2" xfId="714"/>
    <cellStyle name="20% - Accent2 2 2 3 2 2" xfId="1659"/>
    <cellStyle name="20% - Accent2 2 2 3 2 3" xfId="2265"/>
    <cellStyle name="20% - Accent2 2 2 3 2 4" xfId="2819"/>
    <cellStyle name="20% - Accent2 2 2 3 2 5" xfId="3331"/>
    <cellStyle name="20% - Accent2 2 2 3 2 6" xfId="3755"/>
    <cellStyle name="20% - Accent2 2 2 3 3" xfId="1171"/>
    <cellStyle name="20% - Accent2 2 2 3 4" xfId="1275"/>
    <cellStyle name="20% - Accent2 2 2 3 5" xfId="2003"/>
    <cellStyle name="20% - Accent2 2 2 3 6" xfId="2569"/>
    <cellStyle name="20% - Accent2 2 2 3 7" xfId="3104"/>
    <cellStyle name="20% - Accent2 2 2 4" xfId="626"/>
    <cellStyle name="20% - Accent2 2 2 4 2" xfId="1571"/>
    <cellStyle name="20% - Accent2 2 2 4 3" xfId="2177"/>
    <cellStyle name="20% - Accent2 2 2 4 4" xfId="2731"/>
    <cellStyle name="20% - Accent2 2 2 4 5" xfId="3243"/>
    <cellStyle name="20% - Accent2 2 2 4 6" xfId="3667"/>
    <cellStyle name="20% - Accent2 2 2 5" xfId="1082"/>
    <cellStyle name="20% - Accent2 2 2 6" xfId="1350"/>
    <cellStyle name="20% - Accent2 2 2 7" xfId="1394"/>
    <cellStyle name="20% - Accent2 2 2 8" xfId="997"/>
    <cellStyle name="20% - Accent2 2 2 9" xfId="2478"/>
    <cellStyle name="20% - Accent2 2 3" xfId="141"/>
    <cellStyle name="20% - Accent2 2 3 2" xfId="230"/>
    <cellStyle name="20% - Accent2 2 3 2 2" xfId="736"/>
    <cellStyle name="20% - Accent2 2 3 2 2 2" xfId="1681"/>
    <cellStyle name="20% - Accent2 2 3 2 2 3" xfId="2287"/>
    <cellStyle name="20% - Accent2 2 3 2 2 4" xfId="2841"/>
    <cellStyle name="20% - Accent2 2 3 2 2 5" xfId="3353"/>
    <cellStyle name="20% - Accent2 2 3 2 2 6" xfId="3777"/>
    <cellStyle name="20% - Accent2 2 3 2 3" xfId="1193"/>
    <cellStyle name="20% - Accent2 2 3 2 4" xfId="1379"/>
    <cellStyle name="20% - Accent2 2 3 2 5" xfId="2114"/>
    <cellStyle name="20% - Accent2 2 3 2 6" xfId="2673"/>
    <cellStyle name="20% - Accent2 2 3 2 7" xfId="3190"/>
    <cellStyle name="20% - Accent2 2 3 3" xfId="648"/>
    <cellStyle name="20% - Accent2 2 3 3 2" xfId="1593"/>
    <cellStyle name="20% - Accent2 2 3 3 3" xfId="2199"/>
    <cellStyle name="20% - Accent2 2 3 3 4" xfId="2753"/>
    <cellStyle name="20% - Accent2 2 3 3 5" xfId="3265"/>
    <cellStyle name="20% - Accent2 2 3 3 6" xfId="3689"/>
    <cellStyle name="20% - Accent2 2 3 4" xfId="1104"/>
    <cellStyle name="20% - Accent2 2 3 5" xfId="1428"/>
    <cellStyle name="20% - Accent2 2 3 6" xfId="1961"/>
    <cellStyle name="20% - Accent2 2 3 7" xfId="2534"/>
    <cellStyle name="20% - Accent2 2 3 8" xfId="3075"/>
    <cellStyle name="20% - Accent2 2 4" xfId="186"/>
    <cellStyle name="20% - Accent2 2 4 2" xfId="692"/>
    <cellStyle name="20% - Accent2 2 4 2 2" xfId="1637"/>
    <cellStyle name="20% - Accent2 2 4 2 3" xfId="2243"/>
    <cellStyle name="20% - Accent2 2 4 2 4" xfId="2797"/>
    <cellStyle name="20% - Accent2 2 4 2 5" xfId="3309"/>
    <cellStyle name="20% - Accent2 2 4 2 6" xfId="3733"/>
    <cellStyle name="20% - Accent2 2 4 3" xfId="1149"/>
    <cellStyle name="20% - Accent2 2 4 4" xfId="1042"/>
    <cellStyle name="20% - Accent2 2 4 5" xfId="2484"/>
    <cellStyle name="20% - Accent2 2 4 6" xfId="3032"/>
    <cellStyle name="20% - Accent2 2 4 7" xfId="3537"/>
    <cellStyle name="20% - Accent2 2 5" xfId="604"/>
    <cellStyle name="20% - Accent2 2 5 2" xfId="1549"/>
    <cellStyle name="20% - Accent2 2 5 3" xfId="2155"/>
    <cellStyle name="20% - Accent2 2 5 4" xfId="2709"/>
    <cellStyle name="20% - Accent2 2 5 5" xfId="3221"/>
    <cellStyle name="20% - Accent2 2 5 6" xfId="3645"/>
    <cellStyle name="20% - Accent2 2 6" xfId="1050"/>
    <cellStyle name="20% - Accent2 2 7" xfId="1041"/>
    <cellStyle name="20% - Accent2 2 8" xfId="2044"/>
    <cellStyle name="20% - Accent2 2 9" xfId="2608"/>
    <cellStyle name="20% - Accent2 20" xfId="4214"/>
    <cellStyle name="20% - Accent2 21" xfId="4255"/>
    <cellStyle name="20% - Accent2 22" xfId="4296"/>
    <cellStyle name="20% - Accent2 23" xfId="4338"/>
    <cellStyle name="20% - Accent2 24" xfId="4379"/>
    <cellStyle name="20% - Accent2 25" xfId="4420"/>
    <cellStyle name="20% - Accent2 26" xfId="4461"/>
    <cellStyle name="20% - Accent2 27" xfId="4502"/>
    <cellStyle name="20% - Accent2 28" xfId="4543"/>
    <cellStyle name="20% - Accent2 29" xfId="4584"/>
    <cellStyle name="20% - Accent2 3" xfId="289"/>
    <cellStyle name="20% - Accent2 3 2" xfId="776"/>
    <cellStyle name="20% - Accent2 3 2 2" xfId="1721"/>
    <cellStyle name="20% - Accent2 3 2 3" xfId="2327"/>
    <cellStyle name="20% - Accent2 3 2 4" xfId="2881"/>
    <cellStyle name="20% - Accent2 3 2 5" xfId="3393"/>
    <cellStyle name="20% - Accent2 3 2 6" xfId="3817"/>
    <cellStyle name="20% - Accent2 3 3" xfId="1251"/>
    <cellStyle name="20% - Accent2 3 4" xfId="1426"/>
    <cellStyle name="20% - Accent2 3 5" xfId="1257"/>
    <cellStyle name="20% - Accent2 3 6" xfId="1342"/>
    <cellStyle name="20% - Accent2 3 7" xfId="1837"/>
    <cellStyle name="20% - Accent2 30" xfId="4626"/>
    <cellStyle name="20% - Accent2 31" xfId="4668"/>
    <cellStyle name="20% - Accent2 32" xfId="4709"/>
    <cellStyle name="20% - Accent2 33" xfId="4750"/>
    <cellStyle name="20% - Accent2 34" xfId="4791"/>
    <cellStyle name="20% - Accent2 35" xfId="4832"/>
    <cellStyle name="20% - Accent2 36" xfId="4873"/>
    <cellStyle name="20% - Accent2 4" xfId="330"/>
    <cellStyle name="20% - Accent2 4 2" xfId="789"/>
    <cellStyle name="20% - Accent2 4 2 2" xfId="1734"/>
    <cellStyle name="20% - Accent2 4 2 3" xfId="2340"/>
    <cellStyle name="20% - Accent2 4 2 4" xfId="2894"/>
    <cellStyle name="20% - Accent2 4 2 5" xfId="3406"/>
    <cellStyle name="20% - Accent2 4 2 6" xfId="3830"/>
    <cellStyle name="20% - Accent2 4 3" xfId="1288"/>
    <cellStyle name="20% - Accent2 4 4" xfId="1056"/>
    <cellStyle name="20% - Accent2 4 5" xfId="1830"/>
    <cellStyle name="20% - Accent2 4 6" xfId="2002"/>
    <cellStyle name="20% - Accent2 4 7" xfId="2568"/>
    <cellStyle name="20% - Accent2 5" xfId="371"/>
    <cellStyle name="20% - Accent2 5 2" xfId="802"/>
    <cellStyle name="20% - Accent2 5 2 2" xfId="1747"/>
    <cellStyle name="20% - Accent2 5 2 3" xfId="2353"/>
    <cellStyle name="20% - Accent2 5 2 4" xfId="2907"/>
    <cellStyle name="20% - Accent2 5 2 5" xfId="3419"/>
    <cellStyle name="20% - Accent2 5 2 6" xfId="3843"/>
    <cellStyle name="20% - Accent2 5 3" xfId="1328"/>
    <cellStyle name="20% - Accent2 5 4" xfId="1941"/>
    <cellStyle name="20% - Accent2 5 5" xfId="2493"/>
    <cellStyle name="20% - Accent2 5 6" xfId="3040"/>
    <cellStyle name="20% - Accent2 5 7" xfId="3545"/>
    <cellStyle name="20% - Accent2 6" xfId="412"/>
    <cellStyle name="20% - Accent2 6 2" xfId="815"/>
    <cellStyle name="20% - Accent2 6 2 2" xfId="1760"/>
    <cellStyle name="20% - Accent2 6 2 3" xfId="2366"/>
    <cellStyle name="20% - Accent2 6 2 4" xfId="2920"/>
    <cellStyle name="20% - Accent2 6 2 5" xfId="3432"/>
    <cellStyle name="20% - Accent2 6 2 6" xfId="3856"/>
    <cellStyle name="20% - Accent2 6 3" xfId="1368"/>
    <cellStyle name="20% - Accent2 6 4" xfId="1977"/>
    <cellStyle name="20% - Accent2 6 5" xfId="2544"/>
    <cellStyle name="20% - Accent2 6 6" xfId="3083"/>
    <cellStyle name="20% - Accent2 6 7" xfId="3575"/>
    <cellStyle name="20% - Accent2 7" xfId="453"/>
    <cellStyle name="20% - Accent2 7 2" xfId="828"/>
    <cellStyle name="20% - Accent2 7 2 2" xfId="1773"/>
    <cellStyle name="20% - Accent2 7 2 3" xfId="2379"/>
    <cellStyle name="20% - Accent2 7 2 4" xfId="2933"/>
    <cellStyle name="20% - Accent2 7 2 5" xfId="3445"/>
    <cellStyle name="20% - Accent2 7 2 6" xfId="3869"/>
    <cellStyle name="20% - Accent2 7 3" xfId="1408"/>
    <cellStyle name="20% - Accent2 7 4" xfId="2015"/>
    <cellStyle name="20% - Accent2 7 5" xfId="2579"/>
    <cellStyle name="20% - Accent2 7 6" xfId="3112"/>
    <cellStyle name="20% - Accent2 7 7" xfId="3588"/>
    <cellStyle name="20% - Accent2 8" xfId="494"/>
    <cellStyle name="20% - Accent2 8 2" xfId="841"/>
    <cellStyle name="20% - Accent2 8 2 2" xfId="1786"/>
    <cellStyle name="20% - Accent2 8 2 3" xfId="2392"/>
    <cellStyle name="20% - Accent2 8 2 4" xfId="2946"/>
    <cellStyle name="20% - Accent2 8 2 5" xfId="3458"/>
    <cellStyle name="20% - Accent2 8 2 6" xfId="3882"/>
    <cellStyle name="20% - Accent2 8 3" xfId="1445"/>
    <cellStyle name="20% - Accent2 8 4" xfId="2052"/>
    <cellStyle name="20% - Accent2 8 5" xfId="2616"/>
    <cellStyle name="20% - Accent2 8 6" xfId="3142"/>
    <cellStyle name="20% - Accent2 8 7" xfId="3601"/>
    <cellStyle name="20% - Accent2 9" xfId="535"/>
    <cellStyle name="20% - Accent2 9 2" xfId="854"/>
    <cellStyle name="20% - Accent2 9 2 2" xfId="1799"/>
    <cellStyle name="20% - Accent2 9 2 3" xfId="2405"/>
    <cellStyle name="20% - Accent2 9 2 4" xfId="2959"/>
    <cellStyle name="20% - Accent2 9 2 5" xfId="3471"/>
    <cellStyle name="20% - Accent2 9 2 6" xfId="3895"/>
    <cellStyle name="20% - Accent2 9 3" xfId="1483"/>
    <cellStyle name="20% - Accent2 9 4" xfId="2091"/>
    <cellStyle name="20% - Accent2 9 5" xfId="2652"/>
    <cellStyle name="20% - Accent2 9 6" xfId="3172"/>
    <cellStyle name="20% - Accent2 9 7" xfId="3614"/>
    <cellStyle name="20% - Accent3 10" xfId="580"/>
    <cellStyle name="20% - Accent3 10 2" xfId="869"/>
    <cellStyle name="20% - Accent3 10 2 2" xfId="1814"/>
    <cellStyle name="20% - Accent3 10 2 3" xfId="2420"/>
    <cellStyle name="20% - Accent3 10 2 4" xfId="2974"/>
    <cellStyle name="20% - Accent3 10 2 5" xfId="3486"/>
    <cellStyle name="20% - Accent3 10 2 6" xfId="3910"/>
    <cellStyle name="20% - Accent3 10 3" xfId="1527"/>
    <cellStyle name="20% - Accent3 10 4" xfId="2134"/>
    <cellStyle name="20% - Accent3 10 5" xfId="2688"/>
    <cellStyle name="20% - Accent3 10 6" xfId="3201"/>
    <cellStyle name="20% - Accent3 10 7" xfId="3629"/>
    <cellStyle name="20% - Accent3 11" xfId="904"/>
    <cellStyle name="20% - Accent3 11 2" xfId="1845"/>
    <cellStyle name="20% - Accent3 11 3" xfId="2455"/>
    <cellStyle name="20% - Accent3 11 4" xfId="3006"/>
    <cellStyle name="20% - Accent3 11 5" xfId="3515"/>
    <cellStyle name="20% - Accent3 11 6" xfId="3924"/>
    <cellStyle name="20% - Accent3 12" xfId="945"/>
    <cellStyle name="20% - Accent3 12 2" xfId="1885"/>
    <cellStyle name="20% - Accent3 12 3" xfId="2494"/>
    <cellStyle name="20% - Accent3 12 4" xfId="3041"/>
    <cellStyle name="20% - Accent3 12 5" xfId="3546"/>
    <cellStyle name="20% - Accent3 12 6" xfId="3937"/>
    <cellStyle name="20% - Accent3 13" xfId="1926"/>
    <cellStyle name="20% - Accent3 14" xfId="3972"/>
    <cellStyle name="20% - Accent3 15" xfId="4013"/>
    <cellStyle name="20% - Accent3 16" xfId="4054"/>
    <cellStyle name="20% - Accent3 17" xfId="4095"/>
    <cellStyle name="20% - Accent3 18" xfId="4136"/>
    <cellStyle name="20% - Accent3 19" xfId="4177"/>
    <cellStyle name="20% - Accent3 2" xfId="4"/>
    <cellStyle name="20% - Accent3 2 10" xfId="3053"/>
    <cellStyle name="20% - Accent3 2 2" xfId="104"/>
    <cellStyle name="20% - Accent3 2 2 2" xfId="165"/>
    <cellStyle name="20% - Accent3 2 2 2 2" xfId="254"/>
    <cellStyle name="20% - Accent3 2 2 2 2 2" xfId="760"/>
    <cellStyle name="20% - Accent3 2 2 2 2 2 2" xfId="1705"/>
    <cellStyle name="20% - Accent3 2 2 2 2 2 3" xfId="2311"/>
    <cellStyle name="20% - Accent3 2 2 2 2 2 4" xfId="2865"/>
    <cellStyle name="20% - Accent3 2 2 2 2 2 5" xfId="3377"/>
    <cellStyle name="20% - Accent3 2 2 2 2 2 6" xfId="3801"/>
    <cellStyle name="20% - Accent3 2 2 2 2 3" xfId="1217"/>
    <cellStyle name="20% - Accent3 2 2 2 2 4" xfId="1371"/>
    <cellStyle name="20% - Accent3 2 2 2 2 5" xfId="2500"/>
    <cellStyle name="20% - Accent3 2 2 2 2 6" xfId="3046"/>
    <cellStyle name="20% - Accent3 2 2 2 2 7" xfId="3550"/>
    <cellStyle name="20% - Accent3 2 2 2 3" xfId="672"/>
    <cellStyle name="20% - Accent3 2 2 2 3 2" xfId="1617"/>
    <cellStyle name="20% - Accent3 2 2 2 3 3" xfId="2223"/>
    <cellStyle name="20% - Accent3 2 2 2 3 4" xfId="2777"/>
    <cellStyle name="20% - Accent3 2 2 2 3 5" xfId="3289"/>
    <cellStyle name="20% - Accent3 2 2 2 3 6" xfId="3713"/>
    <cellStyle name="20% - Accent3 2 2 2 4" xfId="1128"/>
    <cellStyle name="20% - Accent3 2 2 2 5" xfId="1439"/>
    <cellStyle name="20% - Accent3 2 2 2 6" xfId="2039"/>
    <cellStyle name="20% - Accent3 2 2 2 7" xfId="2603"/>
    <cellStyle name="20% - Accent3 2 2 2 8" xfId="3130"/>
    <cellStyle name="20% - Accent3 2 2 3" xfId="210"/>
    <cellStyle name="20% - Accent3 2 2 3 2" xfId="716"/>
    <cellStyle name="20% - Accent3 2 2 3 2 2" xfId="1661"/>
    <cellStyle name="20% - Accent3 2 2 3 2 3" xfId="2267"/>
    <cellStyle name="20% - Accent3 2 2 3 2 4" xfId="2821"/>
    <cellStyle name="20% - Accent3 2 2 3 2 5" xfId="3333"/>
    <cellStyle name="20% - Accent3 2 2 3 2 6" xfId="3757"/>
    <cellStyle name="20% - Accent3 2 2 3 3" xfId="1173"/>
    <cellStyle name="20% - Accent3 2 2 3 4" xfId="1036"/>
    <cellStyle name="20% - Accent3 2 2 3 5" xfId="972"/>
    <cellStyle name="20% - Accent3 2 2 3 6" xfId="2457"/>
    <cellStyle name="20% - Accent3 2 2 3 7" xfId="3008"/>
    <cellStyle name="20% - Accent3 2 2 4" xfId="628"/>
    <cellStyle name="20% - Accent3 2 2 4 2" xfId="1573"/>
    <cellStyle name="20% - Accent3 2 2 4 3" xfId="2179"/>
    <cellStyle name="20% - Accent3 2 2 4 4" xfId="2733"/>
    <cellStyle name="20% - Accent3 2 2 4 5" xfId="3245"/>
    <cellStyle name="20% - Accent3 2 2 4 6" xfId="3669"/>
    <cellStyle name="20% - Accent3 2 2 5" xfId="1084"/>
    <cellStyle name="20% - Accent3 2 2 6" xfId="1272"/>
    <cellStyle name="20% - Accent3 2 2 7" xfId="2473"/>
    <cellStyle name="20% - Accent3 2 2 8" xfId="3024"/>
    <cellStyle name="20% - Accent3 2 2 9" xfId="3529"/>
    <cellStyle name="20% - Accent3 2 3" xfId="143"/>
    <cellStyle name="20% - Accent3 2 3 2" xfId="232"/>
    <cellStyle name="20% - Accent3 2 3 2 2" xfId="738"/>
    <cellStyle name="20% - Accent3 2 3 2 2 2" xfId="1683"/>
    <cellStyle name="20% - Accent3 2 3 2 2 3" xfId="2289"/>
    <cellStyle name="20% - Accent3 2 3 2 2 4" xfId="2843"/>
    <cellStyle name="20% - Accent3 2 3 2 2 5" xfId="3355"/>
    <cellStyle name="20% - Accent3 2 3 2 2 6" xfId="3779"/>
    <cellStyle name="20% - Accent3 2 3 2 3" xfId="1195"/>
    <cellStyle name="20% - Accent3 2 3 2 4" xfId="1299"/>
    <cellStyle name="20% - Accent3 2 3 2 5" xfId="2105"/>
    <cellStyle name="20% - Accent3 2 3 2 6" xfId="2664"/>
    <cellStyle name="20% - Accent3 2 3 2 7" xfId="3182"/>
    <cellStyle name="20% - Accent3 2 3 3" xfId="650"/>
    <cellStyle name="20% - Accent3 2 3 3 2" xfId="1595"/>
    <cellStyle name="20% - Accent3 2 3 3 3" xfId="2201"/>
    <cellStyle name="20% - Accent3 2 3 3 4" xfId="2755"/>
    <cellStyle name="20% - Accent3 2 3 3 5" xfId="3267"/>
    <cellStyle name="20% - Accent3 2 3 3 6" xfId="3691"/>
    <cellStyle name="20% - Accent3 2 3 4" xfId="1106"/>
    <cellStyle name="20% - Accent3 2 3 5" xfId="1348"/>
    <cellStyle name="20% - Accent3 2 3 6" xfId="977"/>
    <cellStyle name="20% - Accent3 2 3 7" xfId="2108"/>
    <cellStyle name="20% - Accent3 2 3 8" xfId="2667"/>
    <cellStyle name="20% - Accent3 2 4" xfId="188"/>
    <cellStyle name="20% - Accent3 2 4 2" xfId="694"/>
    <cellStyle name="20% - Accent3 2 4 2 2" xfId="1639"/>
    <cellStyle name="20% - Accent3 2 4 2 3" xfId="2245"/>
    <cellStyle name="20% - Accent3 2 4 2 4" xfId="2799"/>
    <cellStyle name="20% - Accent3 2 4 2 5" xfId="3311"/>
    <cellStyle name="20% - Accent3 2 4 2 6" xfId="3735"/>
    <cellStyle name="20% - Accent3 2 4 3" xfId="1151"/>
    <cellStyle name="20% - Accent3 2 4 4" xfId="1833"/>
    <cellStyle name="20% - Accent3 2 4 5" xfId="2123"/>
    <cellStyle name="20% - Accent3 2 4 6" xfId="2680"/>
    <cellStyle name="20% - Accent3 2 4 7" xfId="3196"/>
    <cellStyle name="20% - Accent3 2 5" xfId="606"/>
    <cellStyle name="20% - Accent3 2 5 2" xfId="1551"/>
    <cellStyle name="20% - Accent3 2 5 3" xfId="2157"/>
    <cellStyle name="20% - Accent3 2 5 4" xfId="2711"/>
    <cellStyle name="20% - Accent3 2 5 5" xfId="3223"/>
    <cellStyle name="20% - Accent3 2 5 6" xfId="3647"/>
    <cellStyle name="20% - Accent3 2 6" xfId="1054"/>
    <cellStyle name="20% - Accent3 2 7" xfId="996"/>
    <cellStyle name="20% - Accent3 2 8" xfId="1891"/>
    <cellStyle name="20% - Accent3 2 9" xfId="2507"/>
    <cellStyle name="20% - Accent3 20" xfId="4218"/>
    <cellStyle name="20% - Accent3 21" xfId="4259"/>
    <cellStyle name="20% - Accent3 22" xfId="4300"/>
    <cellStyle name="20% - Accent3 23" xfId="4342"/>
    <cellStyle name="20% - Accent3 24" xfId="4383"/>
    <cellStyle name="20% - Accent3 25" xfId="4424"/>
    <cellStyle name="20% - Accent3 26" xfId="4465"/>
    <cellStyle name="20% - Accent3 27" xfId="4506"/>
    <cellStyle name="20% - Accent3 28" xfId="4547"/>
    <cellStyle name="20% - Accent3 29" xfId="4588"/>
    <cellStyle name="20% - Accent3 3" xfId="293"/>
    <cellStyle name="20% - Accent3 3 2" xfId="778"/>
    <cellStyle name="20% - Accent3 3 2 2" xfId="1723"/>
    <cellStyle name="20% - Accent3 3 2 3" xfId="2329"/>
    <cellStyle name="20% - Accent3 3 2 4" xfId="2883"/>
    <cellStyle name="20% - Accent3 3 2 5" xfId="3395"/>
    <cellStyle name="20% - Accent3 3 2 6" xfId="3819"/>
    <cellStyle name="20% - Accent3 3 3" xfId="1255"/>
    <cellStyle name="20% - Accent3 3 4" xfId="1268"/>
    <cellStyle name="20% - Accent3 3 5" xfId="2490"/>
    <cellStyle name="20% - Accent3 3 6" xfId="3037"/>
    <cellStyle name="20% - Accent3 3 7" xfId="3542"/>
    <cellStyle name="20% - Accent3 30" xfId="4630"/>
    <cellStyle name="20% - Accent3 31" xfId="4672"/>
    <cellStyle name="20% - Accent3 32" xfId="4713"/>
    <cellStyle name="20% - Accent3 33" xfId="4754"/>
    <cellStyle name="20% - Accent3 34" xfId="4795"/>
    <cellStyle name="20% - Accent3 35" xfId="4836"/>
    <cellStyle name="20% - Accent3 36" xfId="4877"/>
    <cellStyle name="20% - Accent3 4" xfId="334"/>
    <cellStyle name="20% - Accent3 4 2" xfId="791"/>
    <cellStyle name="20% - Accent3 4 2 2" xfId="1736"/>
    <cellStyle name="20% - Accent3 4 2 3" xfId="2342"/>
    <cellStyle name="20% - Accent3 4 2 4" xfId="2896"/>
    <cellStyle name="20% - Accent3 4 2 5" xfId="3408"/>
    <cellStyle name="20% - Accent3 4 2 6" xfId="3832"/>
    <cellStyle name="20% - Accent3 4 3" xfId="1292"/>
    <cellStyle name="20% - Accent3 4 4" xfId="975"/>
    <cellStyle name="20% - Accent3 4 5" xfId="2143"/>
    <cellStyle name="20% - Accent3 4 6" xfId="2697"/>
    <cellStyle name="20% - Accent3 4 7" xfId="3209"/>
    <cellStyle name="20% - Accent3 5" xfId="375"/>
    <cellStyle name="20% - Accent3 5 2" xfId="804"/>
    <cellStyle name="20% - Accent3 5 2 2" xfId="1749"/>
    <cellStyle name="20% - Accent3 5 2 3" xfId="2355"/>
    <cellStyle name="20% - Accent3 5 2 4" xfId="2909"/>
    <cellStyle name="20% - Accent3 5 2 5" xfId="3421"/>
    <cellStyle name="20% - Accent3 5 2 6" xfId="3845"/>
    <cellStyle name="20% - Accent3 5 3" xfId="1332"/>
    <cellStyle name="20% - Accent3 5 4" xfId="1944"/>
    <cellStyle name="20% - Accent3 5 5" xfId="2090"/>
    <cellStyle name="20% - Accent3 5 6" xfId="2651"/>
    <cellStyle name="20% - Accent3 5 7" xfId="3171"/>
    <cellStyle name="20% - Accent3 6" xfId="416"/>
    <cellStyle name="20% - Accent3 6 2" xfId="817"/>
    <cellStyle name="20% - Accent3 6 2 2" xfId="1762"/>
    <cellStyle name="20% - Accent3 6 2 3" xfId="2368"/>
    <cellStyle name="20% - Accent3 6 2 4" xfId="2922"/>
    <cellStyle name="20% - Accent3 6 2 5" xfId="3434"/>
    <cellStyle name="20% - Accent3 6 2 6" xfId="3858"/>
    <cellStyle name="20% - Accent3 6 3" xfId="1372"/>
    <cellStyle name="20% - Accent3 6 4" xfId="1980"/>
    <cellStyle name="20% - Accent3 6 5" xfId="2546"/>
    <cellStyle name="20% - Accent3 6 6" xfId="3085"/>
    <cellStyle name="20% - Accent3 6 7" xfId="3577"/>
    <cellStyle name="20% - Accent3 7" xfId="457"/>
    <cellStyle name="20% - Accent3 7 2" xfId="830"/>
    <cellStyle name="20% - Accent3 7 2 2" xfId="1775"/>
    <cellStyle name="20% - Accent3 7 2 3" xfId="2381"/>
    <cellStyle name="20% - Accent3 7 2 4" xfId="2935"/>
    <cellStyle name="20% - Accent3 7 2 5" xfId="3447"/>
    <cellStyle name="20% - Accent3 7 2 6" xfId="3871"/>
    <cellStyle name="20% - Accent3 7 3" xfId="1412"/>
    <cellStyle name="20% - Accent3 7 4" xfId="2019"/>
    <cellStyle name="20% - Accent3 7 5" xfId="2583"/>
    <cellStyle name="20% - Accent3 7 6" xfId="3114"/>
    <cellStyle name="20% - Accent3 7 7" xfId="3590"/>
    <cellStyle name="20% - Accent3 8" xfId="498"/>
    <cellStyle name="20% - Accent3 8 2" xfId="843"/>
    <cellStyle name="20% - Accent3 8 2 2" xfId="1788"/>
    <cellStyle name="20% - Accent3 8 2 3" xfId="2394"/>
    <cellStyle name="20% - Accent3 8 2 4" xfId="2948"/>
    <cellStyle name="20% - Accent3 8 2 5" xfId="3460"/>
    <cellStyle name="20% - Accent3 8 2 6" xfId="3884"/>
    <cellStyle name="20% - Accent3 8 3" xfId="1449"/>
    <cellStyle name="20% - Accent3 8 4" xfId="2056"/>
    <cellStyle name="20% - Accent3 8 5" xfId="2620"/>
    <cellStyle name="20% - Accent3 8 6" xfId="3145"/>
    <cellStyle name="20% - Accent3 8 7" xfId="3603"/>
    <cellStyle name="20% - Accent3 9" xfId="539"/>
    <cellStyle name="20% - Accent3 9 2" xfId="856"/>
    <cellStyle name="20% - Accent3 9 2 2" xfId="1801"/>
    <cellStyle name="20% - Accent3 9 2 3" xfId="2407"/>
    <cellStyle name="20% - Accent3 9 2 4" xfId="2961"/>
    <cellStyle name="20% - Accent3 9 2 5" xfId="3473"/>
    <cellStyle name="20% - Accent3 9 2 6" xfId="3897"/>
    <cellStyle name="20% - Accent3 9 3" xfId="1487"/>
    <cellStyle name="20% - Accent3 9 4" xfId="2094"/>
    <cellStyle name="20% - Accent3 9 5" xfId="2655"/>
    <cellStyle name="20% - Accent3 9 6" xfId="3174"/>
    <cellStyle name="20% - Accent3 9 7" xfId="3616"/>
    <cellStyle name="20% - Accent4 10" xfId="584"/>
    <cellStyle name="20% - Accent4 10 2" xfId="871"/>
    <cellStyle name="20% - Accent4 10 2 2" xfId="1816"/>
    <cellStyle name="20% - Accent4 10 2 3" xfId="2422"/>
    <cellStyle name="20% - Accent4 10 2 4" xfId="2976"/>
    <cellStyle name="20% - Accent4 10 2 5" xfId="3488"/>
    <cellStyle name="20% - Accent4 10 2 6" xfId="3912"/>
    <cellStyle name="20% - Accent4 10 3" xfId="1530"/>
    <cellStyle name="20% - Accent4 10 4" xfId="2137"/>
    <cellStyle name="20% - Accent4 10 5" xfId="2691"/>
    <cellStyle name="20% - Accent4 10 6" xfId="3203"/>
    <cellStyle name="20% - Accent4 10 7" xfId="3631"/>
    <cellStyle name="20% - Accent4 11" xfId="908"/>
    <cellStyle name="20% - Accent4 11 2" xfId="1849"/>
    <cellStyle name="20% - Accent4 11 3" xfId="2459"/>
    <cellStyle name="20% - Accent4 11 4" xfId="3010"/>
    <cellStyle name="20% - Accent4 11 5" xfId="3517"/>
    <cellStyle name="20% - Accent4 11 6" xfId="3926"/>
    <cellStyle name="20% - Accent4 12" xfId="949"/>
    <cellStyle name="20% - Accent4 12 2" xfId="1889"/>
    <cellStyle name="20% - Accent4 12 3" xfId="2497"/>
    <cellStyle name="20% - Accent4 12 4" xfId="3043"/>
    <cellStyle name="20% - Accent4 12 5" xfId="3548"/>
    <cellStyle name="20% - Accent4 12 6" xfId="3939"/>
    <cellStyle name="20% - Accent4 13" xfId="1930"/>
    <cellStyle name="20% - Accent4 14" xfId="3976"/>
    <cellStyle name="20% - Accent4 15" xfId="4017"/>
    <cellStyle name="20% - Accent4 16" xfId="4058"/>
    <cellStyle name="20% - Accent4 17" xfId="4099"/>
    <cellStyle name="20% - Accent4 18" xfId="4140"/>
    <cellStyle name="20% - Accent4 19" xfId="4181"/>
    <cellStyle name="20% - Accent4 2" xfId="5"/>
    <cellStyle name="20% - Accent4 2 10" xfId="3534"/>
    <cellStyle name="20% - Accent4 2 2" xfId="108"/>
    <cellStyle name="20% - Accent4 2 2 2" xfId="167"/>
    <cellStyle name="20% - Accent4 2 2 2 2" xfId="256"/>
    <cellStyle name="20% - Accent4 2 2 2 2 2" xfId="762"/>
    <cellStyle name="20% - Accent4 2 2 2 2 2 2" xfId="1707"/>
    <cellStyle name="20% - Accent4 2 2 2 2 2 3" xfId="2313"/>
    <cellStyle name="20% - Accent4 2 2 2 2 2 4" xfId="2867"/>
    <cellStyle name="20% - Accent4 2 2 2 2 2 5" xfId="3379"/>
    <cellStyle name="20% - Accent4 2 2 2 2 2 6" xfId="3803"/>
    <cellStyle name="20% - Accent4 2 2 2 2 3" xfId="1219"/>
    <cellStyle name="20% - Accent4 2 2 2 2 4" xfId="1291"/>
    <cellStyle name="20% - Accent4 2 2 2 2 5" xfId="2140"/>
    <cellStyle name="20% - Accent4 2 2 2 2 6" xfId="2694"/>
    <cellStyle name="20% - Accent4 2 2 2 2 7" xfId="3206"/>
    <cellStyle name="20% - Accent4 2 2 2 3" xfId="674"/>
    <cellStyle name="20% - Accent4 2 2 2 3 2" xfId="1619"/>
    <cellStyle name="20% - Accent4 2 2 2 3 3" xfId="2225"/>
    <cellStyle name="20% - Accent4 2 2 2 3 4" xfId="2779"/>
    <cellStyle name="20% - Accent4 2 2 2 3 5" xfId="3291"/>
    <cellStyle name="20% - Accent4 2 2 2 3 6" xfId="3715"/>
    <cellStyle name="20% - Accent4 2 2 2 4" xfId="1130"/>
    <cellStyle name="20% - Accent4 2 2 2 5" xfId="1361"/>
    <cellStyle name="20% - Accent4 2 2 2 6" xfId="1964"/>
    <cellStyle name="20% - Accent4 2 2 2 7" xfId="1834"/>
    <cellStyle name="20% - Accent4 2 2 2 8" xfId="2482"/>
    <cellStyle name="20% - Accent4 2 2 3" xfId="212"/>
    <cellStyle name="20% - Accent4 2 2 3 2" xfId="718"/>
    <cellStyle name="20% - Accent4 2 2 3 2 2" xfId="1663"/>
    <cellStyle name="20% - Accent4 2 2 3 2 3" xfId="2269"/>
    <cellStyle name="20% - Accent4 2 2 3 2 4" xfId="2823"/>
    <cellStyle name="20% - Accent4 2 2 3 2 5" xfId="3335"/>
    <cellStyle name="20% - Accent4 2 2 3 2 6" xfId="3759"/>
    <cellStyle name="20% - Accent4 2 2 3 3" xfId="1175"/>
    <cellStyle name="20% - Accent4 2 2 3 4" xfId="1829"/>
    <cellStyle name="20% - Accent4 2 2 3 5" xfId="1403"/>
    <cellStyle name="20% - Accent4 2 2 3 6" xfId="1306"/>
    <cellStyle name="20% - Accent4 2 2 3 7" xfId="2525"/>
    <cellStyle name="20% - Accent4 2 2 4" xfId="630"/>
    <cellStyle name="20% - Accent4 2 2 4 2" xfId="1575"/>
    <cellStyle name="20% - Accent4 2 2 4 3" xfId="2181"/>
    <cellStyle name="20% - Accent4 2 2 4 4" xfId="2735"/>
    <cellStyle name="20% - Accent4 2 2 4 5" xfId="3247"/>
    <cellStyle name="20% - Accent4 2 2 4 6" xfId="3671"/>
    <cellStyle name="20% - Accent4 2 2 5" xfId="1086"/>
    <cellStyle name="20% - Accent4 2 2 6" xfId="1034"/>
    <cellStyle name="20% - Accent4 2 2 7" xfId="2112"/>
    <cellStyle name="20% - Accent4 2 2 8" xfId="2671"/>
    <cellStyle name="20% - Accent4 2 2 9" xfId="3188"/>
    <cellStyle name="20% - Accent4 2 3" xfId="145"/>
    <cellStyle name="20% - Accent4 2 3 2" xfId="234"/>
    <cellStyle name="20% - Accent4 2 3 2 2" xfId="740"/>
    <cellStyle name="20% - Accent4 2 3 2 2 2" xfId="1685"/>
    <cellStyle name="20% - Accent4 2 3 2 2 3" xfId="2291"/>
    <cellStyle name="20% - Accent4 2 3 2 2 4" xfId="2845"/>
    <cellStyle name="20% - Accent4 2 3 2 2 5" xfId="3357"/>
    <cellStyle name="20% - Accent4 2 3 2 2 6" xfId="3781"/>
    <cellStyle name="20% - Accent4 2 3 2 3" xfId="1197"/>
    <cellStyle name="20% - Accent4 2 3 2 4" xfId="1061"/>
    <cellStyle name="20% - Accent4 2 3 2 5" xfId="2030"/>
    <cellStyle name="20% - Accent4 2 3 2 6" xfId="2594"/>
    <cellStyle name="20% - Accent4 2 3 2 7" xfId="3123"/>
    <cellStyle name="20% - Accent4 2 3 3" xfId="652"/>
    <cellStyle name="20% - Accent4 2 3 3 2" xfId="1597"/>
    <cellStyle name="20% - Accent4 2 3 3 3" xfId="2203"/>
    <cellStyle name="20% - Accent4 2 3 3 4" xfId="2757"/>
    <cellStyle name="20% - Accent4 2 3 3 5" xfId="3269"/>
    <cellStyle name="20% - Accent4 2 3 3 6" xfId="3693"/>
    <cellStyle name="20% - Accent4 2 3 4" xfId="1108"/>
    <cellStyle name="20% - Accent4 2 3 5" xfId="1270"/>
    <cellStyle name="20% - Accent4 2 3 6" xfId="1471"/>
    <cellStyle name="20% - Accent4 2 3 7" xfId="1020"/>
    <cellStyle name="20% - Accent4 2 3 8" xfId="2117"/>
    <cellStyle name="20% - Accent4 2 4" xfId="190"/>
    <cellStyle name="20% - Accent4 2 4 2" xfId="696"/>
    <cellStyle name="20% - Accent4 2 4 2 2" xfId="1641"/>
    <cellStyle name="20% - Accent4 2 4 2 3" xfId="2247"/>
    <cellStyle name="20% - Accent4 2 4 2 4" xfId="2801"/>
    <cellStyle name="20% - Accent4 2 4 2 5" xfId="3313"/>
    <cellStyle name="20% - Accent4 2 4 2 6" xfId="3737"/>
    <cellStyle name="20% - Accent4 2 4 3" xfId="1153"/>
    <cellStyle name="20% - Accent4 2 4 4" xfId="986"/>
    <cellStyle name="20% - Accent4 2 4 5" xfId="1230"/>
    <cellStyle name="20% - Accent4 2 4 6" xfId="1406"/>
    <cellStyle name="20% - Accent4 2 4 7" xfId="2096"/>
    <cellStyle name="20% - Accent4 2 5" xfId="608"/>
    <cellStyle name="20% - Accent4 2 5 2" xfId="1553"/>
    <cellStyle name="20% - Accent4 2 5 3" xfId="2159"/>
    <cellStyle name="20% - Accent4 2 5 4" xfId="2713"/>
    <cellStyle name="20% - Accent4 2 5 5" xfId="3225"/>
    <cellStyle name="20% - Accent4 2 5 6" xfId="3649"/>
    <cellStyle name="20% - Accent4 2 6" xfId="1058"/>
    <cellStyle name="20% - Accent4 2 7" xfId="1355"/>
    <cellStyle name="20% - Accent4 2 8" xfId="2480"/>
    <cellStyle name="20% - Accent4 2 9" xfId="3029"/>
    <cellStyle name="20% - Accent4 20" xfId="4222"/>
    <cellStyle name="20% - Accent4 21" xfId="4263"/>
    <cellStyle name="20% - Accent4 22" xfId="4304"/>
    <cellStyle name="20% - Accent4 23" xfId="4346"/>
    <cellStyle name="20% - Accent4 24" xfId="4387"/>
    <cellStyle name="20% - Accent4 25" xfId="4428"/>
    <cellStyle name="20% - Accent4 26" xfId="4469"/>
    <cellStyle name="20% - Accent4 27" xfId="4510"/>
    <cellStyle name="20% - Accent4 28" xfId="4551"/>
    <cellStyle name="20% - Accent4 29" xfId="4592"/>
    <cellStyle name="20% - Accent4 3" xfId="297"/>
    <cellStyle name="20% - Accent4 3 2" xfId="780"/>
    <cellStyle name="20% - Accent4 3 2 2" xfId="1725"/>
    <cellStyle name="20% - Accent4 3 2 3" xfId="2331"/>
    <cellStyle name="20% - Accent4 3 2 4" xfId="2885"/>
    <cellStyle name="20% - Accent4 3 2 5" xfId="3397"/>
    <cellStyle name="20% - Accent4 3 2 6" xfId="3821"/>
    <cellStyle name="20% - Accent4 3 3" xfId="1259"/>
    <cellStyle name="20% - Accent4 3 4" xfId="1539"/>
    <cellStyle name="20% - Accent4 3 5" xfId="2087"/>
    <cellStyle name="20% - Accent4 3 6" xfId="2648"/>
    <cellStyle name="20% - Accent4 3 7" xfId="3168"/>
    <cellStyle name="20% - Accent4 30" xfId="4634"/>
    <cellStyle name="20% - Accent4 31" xfId="4676"/>
    <cellStyle name="20% - Accent4 32" xfId="4717"/>
    <cellStyle name="20% - Accent4 33" xfId="4758"/>
    <cellStyle name="20% - Accent4 34" xfId="4799"/>
    <cellStyle name="20% - Accent4 35" xfId="4840"/>
    <cellStyle name="20% - Accent4 36" xfId="4881"/>
    <cellStyle name="20% - Accent4 4" xfId="338"/>
    <cellStyle name="20% - Accent4 4 2" xfId="793"/>
    <cellStyle name="20% - Accent4 4 2 2" xfId="1738"/>
    <cellStyle name="20% - Accent4 4 2 3" xfId="2344"/>
    <cellStyle name="20% - Accent4 4 2 4" xfId="2898"/>
    <cellStyle name="20% - Accent4 4 2 5" xfId="3410"/>
    <cellStyle name="20% - Accent4 4 2 6" xfId="3834"/>
    <cellStyle name="20% - Accent4 4 3" xfId="1296"/>
    <cellStyle name="20% - Accent4 4 4" xfId="1370"/>
    <cellStyle name="20% - Accent4 4 5" xfId="2025"/>
    <cellStyle name="20% - Accent4 4 6" xfId="2589"/>
    <cellStyle name="20% - Accent4 4 7" xfId="3119"/>
    <cellStyle name="20% - Accent4 5" xfId="379"/>
    <cellStyle name="20% - Accent4 5 2" xfId="806"/>
    <cellStyle name="20% - Accent4 5 2 2" xfId="1751"/>
    <cellStyle name="20% - Accent4 5 2 3" xfId="2357"/>
    <cellStyle name="20% - Accent4 5 2 4" xfId="2911"/>
    <cellStyle name="20% - Accent4 5 2 5" xfId="3423"/>
    <cellStyle name="20% - Accent4 5 2 6" xfId="3847"/>
    <cellStyle name="20% - Accent4 5 3" xfId="1336"/>
    <cellStyle name="20% - Accent4 5 4" xfId="1948"/>
    <cellStyle name="20% - Accent4 5 5" xfId="962"/>
    <cellStyle name="20% - Accent4 5 6" xfId="1832"/>
    <cellStyle name="20% - Accent4 5 7" xfId="1969"/>
    <cellStyle name="20% - Accent4 6" xfId="420"/>
    <cellStyle name="20% - Accent4 6 2" xfId="819"/>
    <cellStyle name="20% - Accent4 6 2 2" xfId="1764"/>
    <cellStyle name="20% - Accent4 6 2 3" xfId="2370"/>
    <cellStyle name="20% - Accent4 6 2 4" xfId="2924"/>
    <cellStyle name="20% - Accent4 6 2 5" xfId="3436"/>
    <cellStyle name="20% - Accent4 6 2 6" xfId="3860"/>
    <cellStyle name="20% - Accent4 6 3" xfId="1376"/>
    <cellStyle name="20% - Accent4 6 4" xfId="1984"/>
    <cellStyle name="20% - Accent4 6 5" xfId="2550"/>
    <cellStyle name="20% - Accent4 6 6" xfId="3088"/>
    <cellStyle name="20% - Accent4 6 7" xfId="3579"/>
    <cellStyle name="20% - Accent4 7" xfId="461"/>
    <cellStyle name="20% - Accent4 7 2" xfId="832"/>
    <cellStyle name="20% - Accent4 7 2 2" xfId="1777"/>
    <cellStyle name="20% - Accent4 7 2 3" xfId="2383"/>
    <cellStyle name="20% - Accent4 7 2 4" xfId="2937"/>
    <cellStyle name="20% - Accent4 7 2 5" xfId="3449"/>
    <cellStyle name="20% - Accent4 7 2 6" xfId="3873"/>
    <cellStyle name="20% - Accent4 7 3" xfId="1416"/>
    <cellStyle name="20% - Accent4 7 4" xfId="2023"/>
    <cellStyle name="20% - Accent4 7 5" xfId="2587"/>
    <cellStyle name="20% - Accent4 7 6" xfId="3117"/>
    <cellStyle name="20% - Accent4 7 7" xfId="3592"/>
    <cellStyle name="20% - Accent4 8" xfId="502"/>
    <cellStyle name="20% - Accent4 8 2" xfId="845"/>
    <cellStyle name="20% - Accent4 8 2 2" xfId="1790"/>
    <cellStyle name="20% - Accent4 8 2 3" xfId="2396"/>
    <cellStyle name="20% - Accent4 8 2 4" xfId="2950"/>
    <cellStyle name="20% - Accent4 8 2 5" xfId="3462"/>
    <cellStyle name="20% - Accent4 8 2 6" xfId="3886"/>
    <cellStyle name="20% - Accent4 8 3" xfId="1453"/>
    <cellStyle name="20% - Accent4 8 4" xfId="2060"/>
    <cellStyle name="20% - Accent4 8 5" xfId="2624"/>
    <cellStyle name="20% - Accent4 8 6" xfId="3148"/>
    <cellStyle name="20% - Accent4 8 7" xfId="3605"/>
    <cellStyle name="20% - Accent4 9" xfId="543"/>
    <cellStyle name="20% - Accent4 9 2" xfId="858"/>
    <cellStyle name="20% - Accent4 9 2 2" xfId="1803"/>
    <cellStyle name="20% - Accent4 9 2 3" xfId="2409"/>
    <cellStyle name="20% - Accent4 9 2 4" xfId="2963"/>
    <cellStyle name="20% - Accent4 9 2 5" xfId="3475"/>
    <cellStyle name="20% - Accent4 9 2 6" xfId="3899"/>
    <cellStyle name="20% - Accent4 9 3" xfId="1491"/>
    <cellStyle name="20% - Accent4 9 4" xfId="2098"/>
    <cellStyle name="20% - Accent4 9 5" xfId="2658"/>
    <cellStyle name="20% - Accent4 9 6" xfId="3177"/>
    <cellStyle name="20% - Accent4 9 7" xfId="3618"/>
    <cellStyle name="20% - Accent5 10" xfId="588"/>
    <cellStyle name="20% - Accent5 10 2" xfId="873"/>
    <cellStyle name="20% - Accent5 10 2 2" xfId="1818"/>
    <cellStyle name="20% - Accent5 10 2 3" xfId="2424"/>
    <cellStyle name="20% - Accent5 10 2 4" xfId="2978"/>
    <cellStyle name="20% - Accent5 10 2 5" xfId="3490"/>
    <cellStyle name="20% - Accent5 10 2 6" xfId="3914"/>
    <cellStyle name="20% - Accent5 10 3" xfId="1533"/>
    <cellStyle name="20% - Accent5 10 4" xfId="2141"/>
    <cellStyle name="20% - Accent5 10 5" xfId="2695"/>
    <cellStyle name="20% - Accent5 10 6" xfId="3207"/>
    <cellStyle name="20% - Accent5 10 7" xfId="3633"/>
    <cellStyle name="20% - Accent5 11" xfId="912"/>
    <cellStyle name="20% - Accent5 11 2" xfId="1853"/>
    <cellStyle name="20% - Accent5 11 3" xfId="2463"/>
    <cellStyle name="20% - Accent5 11 4" xfId="3014"/>
    <cellStyle name="20% - Accent5 11 5" xfId="3521"/>
    <cellStyle name="20% - Accent5 11 6" xfId="3928"/>
    <cellStyle name="20% - Accent5 12" xfId="953"/>
    <cellStyle name="20% - Accent5 12 2" xfId="1893"/>
    <cellStyle name="20% - Accent5 12 3" xfId="2501"/>
    <cellStyle name="20% - Accent5 12 4" xfId="3047"/>
    <cellStyle name="20% - Accent5 12 5" xfId="3551"/>
    <cellStyle name="20% - Accent5 12 6" xfId="3941"/>
    <cellStyle name="20% - Accent5 13" xfId="1934"/>
    <cellStyle name="20% - Accent5 14" xfId="3980"/>
    <cellStyle name="20% - Accent5 15" xfId="4021"/>
    <cellStyle name="20% - Accent5 16" xfId="4062"/>
    <cellStyle name="20% - Accent5 17" xfId="4103"/>
    <cellStyle name="20% - Accent5 18" xfId="4144"/>
    <cellStyle name="20% - Accent5 19" xfId="4185"/>
    <cellStyle name="20% - Accent5 2" xfId="6"/>
    <cellStyle name="20% - Accent5 2 10" xfId="3162"/>
    <cellStyle name="20% - Accent5 2 2" xfId="112"/>
    <cellStyle name="20% - Accent5 2 2 2" xfId="169"/>
    <cellStyle name="20% - Accent5 2 2 2 2" xfId="258"/>
    <cellStyle name="20% - Accent5 2 2 2 2 2" xfId="764"/>
    <cellStyle name="20% - Accent5 2 2 2 2 2 2" xfId="1709"/>
    <cellStyle name="20% - Accent5 2 2 2 2 2 3" xfId="2315"/>
    <cellStyle name="20% - Accent5 2 2 2 2 2 4" xfId="2869"/>
    <cellStyle name="20% - Accent5 2 2 2 2 2 5" xfId="3381"/>
    <cellStyle name="20% - Accent5 2 2 2 2 2 6" xfId="3805"/>
    <cellStyle name="20% - Accent5 2 2 2 2 3" xfId="1221"/>
    <cellStyle name="20% - Accent5 2 2 2 2 4" xfId="1053"/>
    <cellStyle name="20% - Accent5 2 2 2 2 5" xfId="2097"/>
    <cellStyle name="20% - Accent5 2 2 2 2 6" xfId="2657"/>
    <cellStyle name="20% - Accent5 2 2 2 2 7" xfId="3176"/>
    <cellStyle name="20% - Accent5 2 2 2 3" xfId="676"/>
    <cellStyle name="20% - Accent5 2 2 2 3 2" xfId="1621"/>
    <cellStyle name="20% - Accent5 2 2 2 3 3" xfId="2227"/>
    <cellStyle name="20% - Accent5 2 2 2 3 4" xfId="2781"/>
    <cellStyle name="20% - Accent5 2 2 2 3 5" xfId="3293"/>
    <cellStyle name="20% - Accent5 2 2 2 3 6" xfId="3717"/>
    <cellStyle name="20% - Accent5 2 2 2 4" xfId="1132"/>
    <cellStyle name="20% - Accent5 2 2 2 5" xfId="1282"/>
    <cellStyle name="20% - Accent5 2 2 2 6" xfId="1418"/>
    <cellStyle name="20% - Accent5 2 2 2 7" xfId="1994"/>
    <cellStyle name="20% - Accent5 2 2 2 8" xfId="2560"/>
    <cellStyle name="20% - Accent5 2 2 3" xfId="214"/>
    <cellStyle name="20% - Accent5 2 2 3 2" xfId="720"/>
    <cellStyle name="20% - Accent5 2 2 3 2 2" xfId="1665"/>
    <cellStyle name="20% - Accent5 2 2 3 2 3" xfId="2271"/>
    <cellStyle name="20% - Accent5 2 2 3 2 4" xfId="2825"/>
    <cellStyle name="20% - Accent5 2 2 3 2 5" xfId="3337"/>
    <cellStyle name="20% - Accent5 2 2 3 2 6" xfId="3761"/>
    <cellStyle name="20% - Accent5 2 2 3 3" xfId="1177"/>
    <cellStyle name="20% - Accent5 2 2 3 4" xfId="984"/>
    <cellStyle name="20% - Accent5 2 2 3 5" xfId="2517"/>
    <cellStyle name="20% - Accent5 2 2 3 6" xfId="3062"/>
    <cellStyle name="20% - Accent5 2 2 3 7" xfId="3563"/>
    <cellStyle name="20% - Accent5 2 2 4" xfId="632"/>
    <cellStyle name="20% - Accent5 2 2 4 2" xfId="1577"/>
    <cellStyle name="20% - Accent5 2 2 4 3" xfId="2183"/>
    <cellStyle name="20% - Accent5 2 2 4 4" xfId="2737"/>
    <cellStyle name="20% - Accent5 2 2 4 5" xfId="3249"/>
    <cellStyle name="20% - Accent5 2 2 4 6" xfId="3673"/>
    <cellStyle name="20% - Accent5 2 2 5" xfId="1088"/>
    <cellStyle name="20% - Accent5 2 2 6" xfId="1826"/>
    <cellStyle name="20% - Accent5 2 2 7" xfId="2074"/>
    <cellStyle name="20% - Accent5 2 2 8" xfId="2637"/>
    <cellStyle name="20% - Accent5 2 2 9" xfId="3158"/>
    <cellStyle name="20% - Accent5 2 3" xfId="147"/>
    <cellStyle name="20% - Accent5 2 3 2" xfId="236"/>
    <cellStyle name="20% - Accent5 2 3 2 2" xfId="742"/>
    <cellStyle name="20% - Accent5 2 3 2 2 2" xfId="1687"/>
    <cellStyle name="20% - Accent5 2 3 2 2 3" xfId="2293"/>
    <cellStyle name="20% - Accent5 2 3 2 2 4" xfId="2847"/>
    <cellStyle name="20% - Accent5 2 3 2 2 5" xfId="3359"/>
    <cellStyle name="20% - Accent5 2 3 2 2 6" xfId="3783"/>
    <cellStyle name="20% - Accent5 2 3 2 3" xfId="1199"/>
    <cellStyle name="20% - Accent5 2 3 2 4" xfId="1852"/>
    <cellStyle name="20% - Accent5 2 3 2 5" xfId="1955"/>
    <cellStyle name="20% - Accent5 2 3 2 6" xfId="2128"/>
    <cellStyle name="20% - Accent5 2 3 2 7" xfId="2684"/>
    <cellStyle name="20% - Accent5 2 3 3" xfId="654"/>
    <cellStyle name="20% - Accent5 2 3 3 2" xfId="1599"/>
    <cellStyle name="20% - Accent5 2 3 3 3" xfId="2205"/>
    <cellStyle name="20% - Accent5 2 3 3 4" xfId="2759"/>
    <cellStyle name="20% - Accent5 2 3 3 5" xfId="3271"/>
    <cellStyle name="20% - Accent5 2 3 3 6" xfId="3695"/>
    <cellStyle name="20% - Accent5 2 3 4" xfId="1110"/>
    <cellStyle name="20% - Accent5 2 3 5" xfId="1032"/>
    <cellStyle name="20% - Accent5 2 3 6" xfId="2471"/>
    <cellStyle name="20% - Accent5 2 3 7" xfId="3022"/>
    <cellStyle name="20% - Accent5 2 3 8" xfId="3527"/>
    <cellStyle name="20% - Accent5 2 4" xfId="192"/>
    <cellStyle name="20% - Accent5 2 4 2" xfId="698"/>
    <cellStyle name="20% - Accent5 2 4 2 2" xfId="1643"/>
    <cellStyle name="20% - Accent5 2 4 2 3" xfId="2249"/>
    <cellStyle name="20% - Accent5 2 4 2 4" xfId="2803"/>
    <cellStyle name="20% - Accent5 2 4 2 5" xfId="3315"/>
    <cellStyle name="20% - Accent5 2 4 2 6" xfId="3739"/>
    <cellStyle name="20% - Accent5 2 4 3" xfId="1155"/>
    <cellStyle name="20% - Accent5 2 4 4" xfId="1435"/>
    <cellStyle name="20% - Accent5 2 4 5" xfId="1307"/>
    <cellStyle name="20% - Accent5 2 4 6" xfId="1995"/>
    <cellStyle name="20% - Accent5 2 4 7" xfId="2561"/>
    <cellStyle name="20% - Accent5 2 5" xfId="610"/>
    <cellStyle name="20% - Accent5 2 5 2" xfId="1555"/>
    <cellStyle name="20% - Accent5 2 5 3" xfId="2161"/>
    <cellStyle name="20% - Accent5 2 5 4" xfId="2715"/>
    <cellStyle name="20% - Accent5 2 5 5" xfId="3227"/>
    <cellStyle name="20% - Accent5 2 5 6" xfId="3651"/>
    <cellStyle name="20% - Accent5 2 6" xfId="1062"/>
    <cellStyle name="20% - Accent5 2 7" xfId="1038"/>
    <cellStyle name="20% - Accent5 2 8" xfId="2079"/>
    <cellStyle name="20% - Accent5 2 9" xfId="2641"/>
    <cellStyle name="20% - Accent5 20" xfId="4226"/>
    <cellStyle name="20% - Accent5 21" xfId="4267"/>
    <cellStyle name="20% - Accent5 22" xfId="4308"/>
    <cellStyle name="20% - Accent5 23" xfId="4350"/>
    <cellStyle name="20% - Accent5 24" xfId="4391"/>
    <cellStyle name="20% - Accent5 25" xfId="4432"/>
    <cellStyle name="20% - Accent5 26" xfId="4473"/>
    <cellStyle name="20% - Accent5 27" xfId="4514"/>
    <cellStyle name="20% - Accent5 28" xfId="4555"/>
    <cellStyle name="20% - Accent5 29" xfId="4596"/>
    <cellStyle name="20% - Accent5 3" xfId="301"/>
    <cellStyle name="20% - Accent5 3 2" xfId="782"/>
    <cellStyle name="20% - Accent5 3 2 2" xfId="1727"/>
    <cellStyle name="20% - Accent5 3 2 3" xfId="2333"/>
    <cellStyle name="20% - Accent5 3 2 4" xfId="2887"/>
    <cellStyle name="20% - Accent5 3 2 5" xfId="3399"/>
    <cellStyle name="20% - Accent5 3 2 6" xfId="3823"/>
    <cellStyle name="20% - Accent5 3 3" xfId="1262"/>
    <cellStyle name="20% - Accent5 3 4" xfId="1422"/>
    <cellStyle name="20% - Accent5 3 5" xfId="965"/>
    <cellStyle name="20% - Accent5 3 6" xfId="1943"/>
    <cellStyle name="20% - Accent5 3 7" xfId="2132"/>
    <cellStyle name="20% - Accent5 30" xfId="4638"/>
    <cellStyle name="20% - Accent5 31" xfId="4680"/>
    <cellStyle name="20% - Accent5 32" xfId="4721"/>
    <cellStyle name="20% - Accent5 33" xfId="4762"/>
    <cellStyle name="20% - Accent5 34" xfId="4803"/>
    <cellStyle name="20% - Accent5 35" xfId="4844"/>
    <cellStyle name="20% - Accent5 36" xfId="4885"/>
    <cellStyle name="20% - Accent5 4" xfId="342"/>
    <cellStyle name="20% - Accent5 4 2" xfId="795"/>
    <cellStyle name="20% - Accent5 4 2 2" xfId="1740"/>
    <cellStyle name="20% - Accent5 4 2 3" xfId="2346"/>
    <cellStyle name="20% - Accent5 4 2 4" xfId="2900"/>
    <cellStyle name="20% - Accent5 4 2 5" xfId="3412"/>
    <cellStyle name="20% - Accent5 4 2 6" xfId="3836"/>
    <cellStyle name="20% - Accent5 4 3" xfId="1300"/>
    <cellStyle name="20% - Accent5 4 4" xfId="1052"/>
    <cellStyle name="20% - Accent5 4 5" xfId="1497"/>
    <cellStyle name="20% - Accent5 4 6" xfId="2010"/>
    <cellStyle name="20% - Accent5 4 7" xfId="2575"/>
    <cellStyle name="20% - Accent5 5" xfId="383"/>
    <cellStyle name="20% - Accent5 5 2" xfId="808"/>
    <cellStyle name="20% - Accent5 5 2 2" xfId="1753"/>
    <cellStyle name="20% - Accent5 5 2 3" xfId="2359"/>
    <cellStyle name="20% - Accent5 5 2 4" xfId="2913"/>
    <cellStyle name="20% - Accent5 5 2 5" xfId="3425"/>
    <cellStyle name="20% - Accent5 5 2 6" xfId="3849"/>
    <cellStyle name="20% - Accent5 5 3" xfId="1340"/>
    <cellStyle name="20% - Accent5 5 4" xfId="1952"/>
    <cellStyle name="20% - Accent5 5 5" xfId="2524"/>
    <cellStyle name="20% - Accent5 5 6" xfId="3067"/>
    <cellStyle name="20% - Accent5 5 7" xfId="3567"/>
    <cellStyle name="20% - Accent5 6" xfId="424"/>
    <cellStyle name="20% - Accent5 6 2" xfId="821"/>
    <cellStyle name="20% - Accent5 6 2 2" xfId="1766"/>
    <cellStyle name="20% - Accent5 6 2 3" xfId="2372"/>
    <cellStyle name="20% - Accent5 6 2 4" xfId="2926"/>
    <cellStyle name="20% - Accent5 6 2 5" xfId="3438"/>
    <cellStyle name="20% - Accent5 6 2 6" xfId="3862"/>
    <cellStyle name="20% - Accent5 6 3" xfId="1380"/>
    <cellStyle name="20% - Accent5 6 4" xfId="1988"/>
    <cellStyle name="20% - Accent5 6 5" xfId="2554"/>
    <cellStyle name="20% - Accent5 6 6" xfId="3092"/>
    <cellStyle name="20% - Accent5 6 7" xfId="3581"/>
    <cellStyle name="20% - Accent5 7" xfId="465"/>
    <cellStyle name="20% - Accent5 7 2" xfId="834"/>
    <cellStyle name="20% - Accent5 7 2 2" xfId="1779"/>
    <cellStyle name="20% - Accent5 7 2 3" xfId="2385"/>
    <cellStyle name="20% - Accent5 7 2 4" xfId="2939"/>
    <cellStyle name="20% - Accent5 7 2 5" xfId="3451"/>
    <cellStyle name="20% - Accent5 7 2 6" xfId="3875"/>
    <cellStyle name="20% - Accent5 7 3" xfId="1420"/>
    <cellStyle name="20% - Accent5 7 4" xfId="2027"/>
    <cellStyle name="20% - Accent5 7 5" xfId="2591"/>
    <cellStyle name="20% - Accent5 7 6" xfId="3121"/>
    <cellStyle name="20% - Accent5 7 7" xfId="3594"/>
    <cellStyle name="20% - Accent5 8" xfId="506"/>
    <cellStyle name="20% - Accent5 8 2" xfId="847"/>
    <cellStyle name="20% - Accent5 8 2 2" xfId="1792"/>
    <cellStyle name="20% - Accent5 8 2 3" xfId="2398"/>
    <cellStyle name="20% - Accent5 8 2 4" xfId="2952"/>
    <cellStyle name="20% - Accent5 8 2 5" xfId="3464"/>
    <cellStyle name="20% - Accent5 8 2 6" xfId="3888"/>
    <cellStyle name="20% - Accent5 8 3" xfId="1457"/>
    <cellStyle name="20% - Accent5 8 4" xfId="2064"/>
    <cellStyle name="20% - Accent5 8 5" xfId="2628"/>
    <cellStyle name="20% - Accent5 8 6" xfId="3151"/>
    <cellStyle name="20% - Accent5 8 7" xfId="3607"/>
    <cellStyle name="20% - Accent5 9" xfId="547"/>
    <cellStyle name="20% - Accent5 9 2" xfId="860"/>
    <cellStyle name="20% - Accent5 9 2 2" xfId="1805"/>
    <cellStyle name="20% - Accent5 9 2 3" xfId="2411"/>
    <cellStyle name="20% - Accent5 9 2 4" xfId="2965"/>
    <cellStyle name="20% - Accent5 9 2 5" xfId="3477"/>
    <cellStyle name="20% - Accent5 9 2 6" xfId="3901"/>
    <cellStyle name="20% - Accent5 9 3" xfId="1495"/>
    <cellStyle name="20% - Accent5 9 4" xfId="2102"/>
    <cellStyle name="20% - Accent5 9 5" xfId="2661"/>
    <cellStyle name="20% - Accent5 9 6" xfId="3180"/>
    <cellStyle name="20% - Accent5 9 7" xfId="3620"/>
    <cellStyle name="20% - Accent6 10" xfId="592"/>
    <cellStyle name="20% - Accent6 10 2" xfId="875"/>
    <cellStyle name="20% - Accent6 10 2 2" xfId="1820"/>
    <cellStyle name="20% - Accent6 10 2 3" xfId="2426"/>
    <cellStyle name="20% - Accent6 10 2 4" xfId="2980"/>
    <cellStyle name="20% - Accent6 10 2 5" xfId="3492"/>
    <cellStyle name="20% - Accent6 10 2 6" xfId="3916"/>
    <cellStyle name="20% - Accent6 10 3" xfId="1537"/>
    <cellStyle name="20% - Accent6 10 4" xfId="2145"/>
    <cellStyle name="20% - Accent6 10 5" xfId="2699"/>
    <cellStyle name="20% - Accent6 10 6" xfId="3211"/>
    <cellStyle name="20% - Accent6 10 7" xfId="3635"/>
    <cellStyle name="20% - Accent6 11" xfId="916"/>
    <cellStyle name="20% - Accent6 11 2" xfId="1857"/>
    <cellStyle name="20% - Accent6 11 3" xfId="2466"/>
    <cellStyle name="20% - Accent6 11 4" xfId="3017"/>
    <cellStyle name="20% - Accent6 11 5" xfId="3524"/>
    <cellStyle name="20% - Accent6 11 6" xfId="3930"/>
    <cellStyle name="20% - Accent6 12" xfId="957"/>
    <cellStyle name="20% - Accent6 12 2" xfId="1897"/>
    <cellStyle name="20% - Accent6 12 3" xfId="2505"/>
    <cellStyle name="20% - Accent6 12 4" xfId="3051"/>
    <cellStyle name="20% - Accent6 12 5" xfId="3554"/>
    <cellStyle name="20% - Accent6 12 6" xfId="3943"/>
    <cellStyle name="20% - Accent6 13" xfId="1938"/>
    <cellStyle name="20% - Accent6 14" xfId="3984"/>
    <cellStyle name="20% - Accent6 15" xfId="4025"/>
    <cellStyle name="20% - Accent6 16" xfId="4066"/>
    <cellStyle name="20% - Accent6 17" xfId="4107"/>
    <cellStyle name="20% - Accent6 18" xfId="4148"/>
    <cellStyle name="20% - Accent6 19" xfId="4189"/>
    <cellStyle name="20% - Accent6 2" xfId="7"/>
    <cellStyle name="20% - Accent6 2 10" xfId="3072"/>
    <cellStyle name="20% - Accent6 2 2" xfId="116"/>
    <cellStyle name="20% - Accent6 2 2 2" xfId="171"/>
    <cellStyle name="20% - Accent6 2 2 2 2" xfId="260"/>
    <cellStyle name="20% - Accent6 2 2 2 2 2" xfId="766"/>
    <cellStyle name="20% - Accent6 2 2 2 2 2 2" xfId="1711"/>
    <cellStyle name="20% - Accent6 2 2 2 2 2 3" xfId="2317"/>
    <cellStyle name="20% - Accent6 2 2 2 2 2 4" xfId="2871"/>
    <cellStyle name="20% - Accent6 2 2 2 2 2 5" xfId="3383"/>
    <cellStyle name="20% - Accent6 2 2 2 2 2 6" xfId="3807"/>
    <cellStyle name="20% - Accent6 2 2 2 2 3" xfId="1223"/>
    <cellStyle name="20% - Accent6 2 2 2 2 4" xfId="1844"/>
    <cellStyle name="20% - Accent6 2 2 2 2 5" xfId="2022"/>
    <cellStyle name="20% - Accent6 2 2 2 2 6" xfId="2586"/>
    <cellStyle name="20% - Accent6 2 2 2 2 7" xfId="3116"/>
    <cellStyle name="20% - Accent6 2 2 2 3" xfId="678"/>
    <cellStyle name="20% - Accent6 2 2 2 3 2" xfId="1623"/>
    <cellStyle name="20% - Accent6 2 2 2 3 3" xfId="2229"/>
    <cellStyle name="20% - Accent6 2 2 2 3 4" xfId="2783"/>
    <cellStyle name="20% - Accent6 2 2 2 3 5" xfId="3295"/>
    <cellStyle name="20% - Accent6 2 2 2 3 6" xfId="3719"/>
    <cellStyle name="20% - Accent6 2 2 2 4" xfId="1134"/>
    <cellStyle name="20% - Accent6 2 2 2 5" xfId="1043"/>
    <cellStyle name="20% - Accent6 2 2 2 6" xfId="1354"/>
    <cellStyle name="20% - Accent6 2 2 2 7" xfId="998"/>
    <cellStyle name="20% - Accent6 2 2 2 8" xfId="2516"/>
    <cellStyle name="20% - Accent6 2 2 3" xfId="216"/>
    <cellStyle name="20% - Accent6 2 2 3 2" xfId="722"/>
    <cellStyle name="20% - Accent6 2 2 3 2 2" xfId="1667"/>
    <cellStyle name="20% - Accent6 2 2 3 2 3" xfId="2273"/>
    <cellStyle name="20% - Accent6 2 2 3 2 4" xfId="2827"/>
    <cellStyle name="20% - Accent6 2 2 3 2 5" xfId="3339"/>
    <cellStyle name="20% - Accent6 2 2 3 2 6" xfId="3763"/>
    <cellStyle name="20% - Accent6 2 2 3 3" xfId="1179"/>
    <cellStyle name="20% - Accent6 2 2 3 4" xfId="1460"/>
    <cellStyle name="20% - Accent6 2 2 3 5" xfId="2439"/>
    <cellStyle name="20% - Accent6 2 2 3 6" xfId="2992"/>
    <cellStyle name="20% - Accent6 2 2 3 7" xfId="3503"/>
    <cellStyle name="20% - Accent6 2 2 4" xfId="634"/>
    <cellStyle name="20% - Accent6 2 2 4 2" xfId="1579"/>
    <cellStyle name="20% - Accent6 2 2 4 3" xfId="2185"/>
    <cellStyle name="20% - Accent6 2 2 4 4" xfId="2739"/>
    <cellStyle name="20% - Accent6 2 2 4 5" xfId="3251"/>
    <cellStyle name="20% - Accent6 2 2 4 6" xfId="3675"/>
    <cellStyle name="20% - Accent6 2 2 5" xfId="1090"/>
    <cellStyle name="20% - Accent6 2 2 6" xfId="993"/>
    <cellStyle name="20% - Accent6 2 2 7" xfId="1998"/>
    <cellStyle name="20% - Accent6 2 2 8" xfId="2564"/>
    <cellStyle name="20% - Accent6 2 2 9" xfId="3100"/>
    <cellStyle name="20% - Accent6 2 3" xfId="149"/>
    <cellStyle name="20% - Accent6 2 3 2" xfId="238"/>
    <cellStyle name="20% - Accent6 2 3 2 2" xfId="744"/>
    <cellStyle name="20% - Accent6 2 3 2 2 2" xfId="1689"/>
    <cellStyle name="20% - Accent6 2 3 2 2 3" xfId="2295"/>
    <cellStyle name="20% - Accent6 2 3 2 2 4" xfId="2849"/>
    <cellStyle name="20% - Accent6 2 3 2 2 5" xfId="3361"/>
    <cellStyle name="20% - Accent6 2 3 2 2 6" xfId="3785"/>
    <cellStyle name="20% - Accent6 2 3 2 3" xfId="1201"/>
    <cellStyle name="20% - Accent6 2 3 2 4" xfId="982"/>
    <cellStyle name="20% - Accent6 2 3 2 5" xfId="1302"/>
    <cellStyle name="20% - Accent6 2 3 2 6" xfId="1398"/>
    <cellStyle name="20% - Accent6 2 3 2 7" xfId="2476"/>
    <cellStyle name="20% - Accent6 2 3 3" xfId="656"/>
    <cellStyle name="20% - Accent6 2 3 3 2" xfId="1601"/>
    <cellStyle name="20% - Accent6 2 3 3 3" xfId="2207"/>
    <cellStyle name="20% - Accent6 2 3 3 4" xfId="2761"/>
    <cellStyle name="20% - Accent6 2 3 3 5" xfId="3273"/>
    <cellStyle name="20% - Accent6 2 3 3 6" xfId="3697"/>
    <cellStyle name="20% - Accent6 2 3 4" xfId="1112"/>
    <cellStyle name="20% - Accent6 2 3 5" xfId="1824"/>
    <cellStyle name="20% - Accent6 2 3 6" xfId="2110"/>
    <cellStyle name="20% - Accent6 2 3 7" xfId="2669"/>
    <cellStyle name="20% - Accent6 2 3 8" xfId="3186"/>
    <cellStyle name="20% - Accent6 2 4" xfId="194"/>
    <cellStyle name="20% - Accent6 2 4 2" xfId="700"/>
    <cellStyle name="20% - Accent6 2 4 2 2" xfId="1645"/>
    <cellStyle name="20% - Accent6 2 4 2 3" xfId="2251"/>
    <cellStyle name="20% - Accent6 2 4 2 4" xfId="2805"/>
    <cellStyle name="20% - Accent6 2 4 2 5" xfId="3317"/>
    <cellStyle name="20% - Accent6 2 4 2 6" xfId="3741"/>
    <cellStyle name="20% - Accent6 2 4 3" xfId="1157"/>
    <cellStyle name="20% - Accent6 2 4 4" xfId="1356"/>
    <cellStyle name="20% - Accent6 2 4 5" xfId="2045"/>
    <cellStyle name="20% - Accent6 2 4 6" xfId="2609"/>
    <cellStyle name="20% - Accent6 2 4 7" xfId="3135"/>
    <cellStyle name="20% - Accent6 2 5" xfId="612"/>
    <cellStyle name="20% - Accent6 2 5 2" xfId="1557"/>
    <cellStyle name="20% - Accent6 2 5 3" xfId="2163"/>
    <cellStyle name="20% - Accent6 2 5 4" xfId="2717"/>
    <cellStyle name="20% - Accent6 2 5 5" xfId="3229"/>
    <cellStyle name="20% - Accent6 2 5 6" xfId="3653"/>
    <cellStyle name="20% - Accent6 2 6" xfId="1066"/>
    <cellStyle name="20% - Accent6 2 7" xfId="995"/>
    <cellStyle name="20% - Accent6 2 8" xfId="1521"/>
    <cellStyle name="20% - Accent6 2 9" xfId="2531"/>
    <cellStyle name="20% - Accent6 20" xfId="4230"/>
    <cellStyle name="20% - Accent6 21" xfId="4271"/>
    <cellStyle name="20% - Accent6 22" xfId="4312"/>
    <cellStyle name="20% - Accent6 23" xfId="4354"/>
    <cellStyle name="20% - Accent6 24" xfId="4395"/>
    <cellStyle name="20% - Accent6 25" xfId="4436"/>
    <cellStyle name="20% - Accent6 26" xfId="4477"/>
    <cellStyle name="20% - Accent6 27" xfId="4518"/>
    <cellStyle name="20% - Accent6 28" xfId="4559"/>
    <cellStyle name="20% - Accent6 29" xfId="4600"/>
    <cellStyle name="20% - Accent6 3" xfId="305"/>
    <cellStyle name="20% - Accent6 3 2" xfId="784"/>
    <cellStyle name="20% - Accent6 3 2 2" xfId="1729"/>
    <cellStyle name="20% - Accent6 3 2 3" xfId="2335"/>
    <cellStyle name="20% - Accent6 3 2 4" xfId="2889"/>
    <cellStyle name="20% - Accent6 3 2 5" xfId="3401"/>
    <cellStyle name="20% - Accent6 3 2 6" xfId="3825"/>
    <cellStyle name="20% - Accent6 3 3" xfId="1266"/>
    <cellStyle name="20% - Accent6 3 4" xfId="1264"/>
    <cellStyle name="20% - Accent6 3 5" xfId="2521"/>
    <cellStyle name="20% - Accent6 3 6" xfId="3066"/>
    <cellStyle name="20% - Accent6 3 7" xfId="3566"/>
    <cellStyle name="20% - Accent6 30" xfId="4642"/>
    <cellStyle name="20% - Accent6 31" xfId="4684"/>
    <cellStyle name="20% - Accent6 32" xfId="4725"/>
    <cellStyle name="20% - Accent6 33" xfId="4766"/>
    <cellStyle name="20% - Accent6 34" xfId="4807"/>
    <cellStyle name="20% - Accent6 35" xfId="4848"/>
    <cellStyle name="20% - Accent6 36" xfId="4889"/>
    <cellStyle name="20% - Accent6 4" xfId="346"/>
    <cellStyle name="20% - Accent6 4 2" xfId="797"/>
    <cellStyle name="20% - Accent6 4 2 2" xfId="1742"/>
    <cellStyle name="20% - Accent6 4 2 3" xfId="2348"/>
    <cellStyle name="20% - Accent6 4 2 4" xfId="2902"/>
    <cellStyle name="20% - Accent6 4 2 5" xfId="3414"/>
    <cellStyle name="20% - Accent6 4 2 6" xfId="3838"/>
    <cellStyle name="20% - Accent6 4 3" xfId="1304"/>
    <cellStyle name="20% - Accent6 4 4" xfId="974"/>
    <cellStyle name="20% - Accent6 4 5" xfId="2461"/>
    <cellStyle name="20% - Accent6 4 6" xfId="3012"/>
    <cellStyle name="20% - Accent6 4 7" xfId="3519"/>
    <cellStyle name="20% - Accent6 5" xfId="387"/>
    <cellStyle name="20% - Accent6 5 2" xfId="810"/>
    <cellStyle name="20% - Accent6 5 2 2" xfId="1755"/>
    <cellStyle name="20% - Accent6 5 2 3" xfId="2361"/>
    <cellStyle name="20% - Accent6 5 2 4" xfId="2915"/>
    <cellStyle name="20% - Accent6 5 2 5" xfId="3427"/>
    <cellStyle name="20% - Accent6 5 2 6" xfId="3851"/>
    <cellStyle name="20% - Accent6 5 3" xfId="1344"/>
    <cellStyle name="20% - Accent6 5 4" xfId="1956"/>
    <cellStyle name="20% - Accent6 5 5" xfId="1440"/>
    <cellStyle name="20% - Accent6 5 6" xfId="2086"/>
    <cellStyle name="20% - Accent6 5 7" xfId="2647"/>
    <cellStyle name="20% - Accent6 6" xfId="428"/>
    <cellStyle name="20% - Accent6 6 2" xfId="823"/>
    <cellStyle name="20% - Accent6 6 2 2" xfId="1768"/>
    <cellStyle name="20% - Accent6 6 2 3" xfId="2374"/>
    <cellStyle name="20% - Accent6 6 2 4" xfId="2928"/>
    <cellStyle name="20% - Accent6 6 2 5" xfId="3440"/>
    <cellStyle name="20% - Accent6 6 2 6" xfId="3864"/>
    <cellStyle name="20% - Accent6 6 3" xfId="1384"/>
    <cellStyle name="20% - Accent6 6 4" xfId="1992"/>
    <cellStyle name="20% - Accent6 6 5" xfId="2558"/>
    <cellStyle name="20% - Accent6 6 6" xfId="3096"/>
    <cellStyle name="20% - Accent6 6 7" xfId="3583"/>
    <cellStyle name="20% - Accent6 7" xfId="469"/>
    <cellStyle name="20% - Accent6 7 2" xfId="836"/>
    <cellStyle name="20% - Accent6 7 2 2" xfId="1781"/>
    <cellStyle name="20% - Accent6 7 2 3" xfId="2387"/>
    <cellStyle name="20% - Accent6 7 2 4" xfId="2941"/>
    <cellStyle name="20% - Accent6 7 2 5" xfId="3453"/>
    <cellStyle name="20% - Accent6 7 2 6" xfId="3877"/>
    <cellStyle name="20% - Accent6 7 3" xfId="1424"/>
    <cellStyle name="20% - Accent6 7 4" xfId="2031"/>
    <cellStyle name="20% - Accent6 7 5" xfId="2595"/>
    <cellStyle name="20% - Accent6 7 6" xfId="3124"/>
    <cellStyle name="20% - Accent6 7 7" xfId="3596"/>
    <cellStyle name="20% - Accent6 8" xfId="510"/>
    <cellStyle name="20% - Accent6 8 2" xfId="849"/>
    <cellStyle name="20% - Accent6 8 2 2" xfId="1794"/>
    <cellStyle name="20% - Accent6 8 2 3" xfId="2400"/>
    <cellStyle name="20% - Accent6 8 2 4" xfId="2954"/>
    <cellStyle name="20% - Accent6 8 2 5" xfId="3466"/>
    <cellStyle name="20% - Accent6 8 2 6" xfId="3890"/>
    <cellStyle name="20% - Accent6 8 3" xfId="1461"/>
    <cellStyle name="20% - Accent6 8 4" xfId="2068"/>
    <cellStyle name="20% - Accent6 8 5" xfId="2631"/>
    <cellStyle name="20% - Accent6 8 6" xfId="3154"/>
    <cellStyle name="20% - Accent6 8 7" xfId="3609"/>
    <cellStyle name="20% - Accent6 9" xfId="551"/>
    <cellStyle name="20% - Accent6 9 2" xfId="862"/>
    <cellStyle name="20% - Accent6 9 2 2" xfId="1807"/>
    <cellStyle name="20% - Accent6 9 2 3" xfId="2413"/>
    <cellStyle name="20% - Accent6 9 2 4" xfId="2967"/>
    <cellStyle name="20% - Accent6 9 2 5" xfId="3479"/>
    <cellStyle name="20% - Accent6 9 2 6" xfId="3903"/>
    <cellStyle name="20% - Accent6 9 3" xfId="1499"/>
    <cellStyle name="20% - Accent6 9 4" xfId="2106"/>
    <cellStyle name="20% - Accent6 9 5" xfId="2665"/>
    <cellStyle name="20% - Accent6 9 6" xfId="3183"/>
    <cellStyle name="20% - Accent6 9 7" xfId="3622"/>
    <cellStyle name="40% - Accent1 10" xfId="573"/>
    <cellStyle name="40% - Accent1 10 2" xfId="866"/>
    <cellStyle name="40% - Accent1 10 2 2" xfId="1811"/>
    <cellStyle name="40% - Accent1 10 2 3" xfId="2417"/>
    <cellStyle name="40% - Accent1 10 2 4" xfId="2971"/>
    <cellStyle name="40% - Accent1 10 2 5" xfId="3483"/>
    <cellStyle name="40% - Accent1 10 2 6" xfId="3907"/>
    <cellStyle name="40% - Accent1 10 3" xfId="1520"/>
    <cellStyle name="40% - Accent1 10 4" xfId="2127"/>
    <cellStyle name="40% - Accent1 10 5" xfId="2683"/>
    <cellStyle name="40% - Accent1 10 6" xfId="3198"/>
    <cellStyle name="40% - Accent1 10 7" xfId="3626"/>
    <cellStyle name="40% - Accent1 11" xfId="897"/>
    <cellStyle name="40% - Accent1 11 2" xfId="1839"/>
    <cellStyle name="40% - Accent1 11 3" xfId="2448"/>
    <cellStyle name="40% - Accent1 11 4" xfId="2999"/>
    <cellStyle name="40% - Accent1 11 5" xfId="3509"/>
    <cellStyle name="40% - Accent1 11 6" xfId="3921"/>
    <cellStyle name="40% - Accent1 12" xfId="938"/>
    <cellStyle name="40% - Accent1 12 2" xfId="1878"/>
    <cellStyle name="40% - Accent1 12 3" xfId="2488"/>
    <cellStyle name="40% - Accent1 12 4" xfId="3035"/>
    <cellStyle name="40% - Accent1 12 5" xfId="3540"/>
    <cellStyle name="40% - Accent1 12 6" xfId="3934"/>
    <cellStyle name="40% - Accent1 13" xfId="1919"/>
    <cellStyle name="40% - Accent1 14" xfId="3965"/>
    <cellStyle name="40% - Accent1 15" xfId="4006"/>
    <cellStyle name="40% - Accent1 16" xfId="4047"/>
    <cellStyle name="40% - Accent1 17" xfId="4088"/>
    <cellStyle name="40% - Accent1 18" xfId="4129"/>
    <cellStyle name="40% - Accent1 19" xfId="4170"/>
    <cellStyle name="40% - Accent1 2" xfId="8"/>
    <cellStyle name="40% - Accent1 2 10" xfId="3191"/>
    <cellStyle name="40% - Accent1 2 2" xfId="97"/>
    <cellStyle name="40% - Accent1 2 2 2" xfId="162"/>
    <cellStyle name="40% - Accent1 2 2 2 2" xfId="251"/>
    <cellStyle name="40% - Accent1 2 2 2 2 2" xfId="757"/>
    <cellStyle name="40% - Accent1 2 2 2 2 2 2" xfId="1702"/>
    <cellStyle name="40% - Accent1 2 2 2 2 2 3" xfId="2308"/>
    <cellStyle name="40% - Accent1 2 2 2 2 2 4" xfId="2862"/>
    <cellStyle name="40% - Accent1 2 2 2 2 2 5" xfId="3374"/>
    <cellStyle name="40% - Accent1 2 2 2 2 2 6" xfId="3798"/>
    <cellStyle name="40% - Accent1 2 2 2 2 3" xfId="1214"/>
    <cellStyle name="40% - Accent1 2 2 2 2 4" xfId="1486"/>
    <cellStyle name="40% - Accent1 2 2 2 2 5" xfId="1459"/>
    <cellStyle name="40% - Accent1 2 2 2 2 6" xfId="1973"/>
    <cellStyle name="40% - Accent1 2 2 2 2 7" xfId="1359"/>
    <cellStyle name="40% - Accent1 2 2 2 3" xfId="669"/>
    <cellStyle name="40% - Accent1 2 2 2 3 2" xfId="1614"/>
    <cellStyle name="40% - Accent1 2 2 2 3 3" xfId="2220"/>
    <cellStyle name="40% - Accent1 2 2 2 3 4" xfId="2774"/>
    <cellStyle name="40% - Accent1 2 2 2 3 5" xfId="3286"/>
    <cellStyle name="40% - Accent1 2 2 2 3 6" xfId="3710"/>
    <cellStyle name="40% - Accent1 2 2 2 4" xfId="1125"/>
    <cellStyle name="40% - Accent1 2 2 2 5" xfId="1506"/>
    <cellStyle name="40% - Accent1 2 2 2 6" xfId="2109"/>
    <cellStyle name="40% - Accent1 2 2 2 7" xfId="2668"/>
    <cellStyle name="40% - Accent1 2 2 2 8" xfId="3185"/>
    <cellStyle name="40% - Accent1 2 2 3" xfId="207"/>
    <cellStyle name="40% - Accent1 2 2 3 2" xfId="713"/>
    <cellStyle name="40% - Accent1 2 2 3 2 2" xfId="1658"/>
    <cellStyle name="40% - Accent1 2 2 3 2 3" xfId="2264"/>
    <cellStyle name="40% - Accent1 2 2 3 2 4" xfId="2818"/>
    <cellStyle name="40% - Accent1 2 2 3 2 5" xfId="3330"/>
    <cellStyle name="40% - Accent1 2 2 3 2 6" xfId="3754"/>
    <cellStyle name="40% - Accent1 2 2 3 3" xfId="1170"/>
    <cellStyle name="40% - Accent1 2 2 3 4" xfId="1313"/>
    <cellStyle name="40% - Accent1 2 2 3 5" xfId="2043"/>
    <cellStyle name="40% - Accent1 2 2 3 6" xfId="2607"/>
    <cellStyle name="40% - Accent1 2 2 3 7" xfId="3133"/>
    <cellStyle name="40% - Accent1 2 2 4" xfId="625"/>
    <cellStyle name="40% - Accent1 2 2 4 2" xfId="1570"/>
    <cellStyle name="40% - Accent1 2 2 4 3" xfId="2176"/>
    <cellStyle name="40% - Accent1 2 2 4 4" xfId="2730"/>
    <cellStyle name="40% - Accent1 2 2 4 5" xfId="3242"/>
    <cellStyle name="40% - Accent1 2 2 4 6" xfId="3666"/>
    <cellStyle name="40% - Accent1 2 2 5" xfId="1081"/>
    <cellStyle name="40% - Accent1 2 2 6" xfId="1390"/>
    <cellStyle name="40% - Accent1 2 2 7" xfId="1880"/>
    <cellStyle name="40% - Accent1 2 2 8" xfId="2093"/>
    <cellStyle name="40% - Accent1 2 2 9" xfId="2654"/>
    <cellStyle name="40% - Accent1 2 3" xfId="140"/>
    <cellStyle name="40% - Accent1 2 3 2" xfId="229"/>
    <cellStyle name="40% - Accent1 2 3 2 2" xfId="735"/>
    <cellStyle name="40% - Accent1 2 3 2 2 2" xfId="1680"/>
    <cellStyle name="40% - Accent1 2 3 2 2 3" xfId="2286"/>
    <cellStyle name="40% - Accent1 2 3 2 2 4" xfId="2840"/>
    <cellStyle name="40% - Accent1 2 3 2 2 5" xfId="3352"/>
    <cellStyle name="40% - Accent1 2 3 2 2 6" xfId="3776"/>
    <cellStyle name="40% - Accent1 2 3 2 3" xfId="1192"/>
    <cellStyle name="40% - Accent1 2 3 2 4" xfId="1419"/>
    <cellStyle name="40% - Accent1 2 3 2 5" xfId="2435"/>
    <cellStyle name="40% - Accent1 2 3 2 6" xfId="2989"/>
    <cellStyle name="40% - Accent1 2 3 2 7" xfId="3500"/>
    <cellStyle name="40% - Accent1 2 3 3" xfId="647"/>
    <cellStyle name="40% - Accent1 2 3 3 2" xfId="1592"/>
    <cellStyle name="40% - Accent1 2 3 3 3" xfId="2198"/>
    <cellStyle name="40% - Accent1 2 3 3 4" xfId="2752"/>
    <cellStyle name="40% - Accent1 2 3 3 5" xfId="3264"/>
    <cellStyle name="40% - Accent1 2 3 3 6" xfId="3688"/>
    <cellStyle name="40% - Accent1 2 3 4" xfId="1103"/>
    <cellStyle name="40% - Accent1 2 3 5" xfId="1465"/>
    <cellStyle name="40% - Accent1 2 3 6" xfId="1997"/>
    <cellStyle name="40% - Accent1 2 3 7" xfId="2563"/>
    <cellStyle name="40% - Accent1 2 3 8" xfId="3099"/>
    <cellStyle name="40% - Accent1 2 4" xfId="185"/>
    <cellStyle name="40% - Accent1 2 4 2" xfId="691"/>
    <cellStyle name="40% - Accent1 2 4 2 2" xfId="1636"/>
    <cellStyle name="40% - Accent1 2 4 2 3" xfId="2242"/>
    <cellStyle name="40% - Accent1 2 4 2 4" xfId="2796"/>
    <cellStyle name="40% - Accent1 2 4 2 5" xfId="3308"/>
    <cellStyle name="40% - Accent1 2 4 2 6" xfId="3732"/>
    <cellStyle name="40% - Accent1 2 4 3" xfId="1148"/>
    <cellStyle name="40% - Accent1 2 4 4" xfId="1242"/>
    <cellStyle name="40% - Accent1 2 4 5" xfId="2520"/>
    <cellStyle name="40% - Accent1 2 4 6" xfId="3065"/>
    <cellStyle name="40% - Accent1 2 4 7" xfId="3565"/>
    <cellStyle name="40% - Accent1 2 5" xfId="603"/>
    <cellStyle name="40% - Accent1 2 5 2" xfId="1548"/>
    <cellStyle name="40% - Accent1 2 5 3" xfId="2154"/>
    <cellStyle name="40% - Accent1 2 5 4" xfId="2708"/>
    <cellStyle name="40% - Accent1 2 5 5" xfId="3220"/>
    <cellStyle name="40% - Accent1 2 5 6" xfId="3644"/>
    <cellStyle name="40% - Accent1 2 6" xfId="1047"/>
    <cellStyle name="40% - Accent1 2 7" xfId="1318"/>
    <cellStyle name="40% - Accent1 2 8" xfId="2115"/>
    <cellStyle name="40% - Accent1 2 9" xfId="2674"/>
    <cellStyle name="40% - Accent1 20" xfId="4211"/>
    <cellStyle name="40% - Accent1 21" xfId="4252"/>
    <cellStyle name="40% - Accent1 22" xfId="4293"/>
    <cellStyle name="40% - Accent1 23" xfId="4335"/>
    <cellStyle name="40% - Accent1 24" xfId="4376"/>
    <cellStyle name="40% - Accent1 25" xfId="4417"/>
    <cellStyle name="40% - Accent1 26" xfId="4458"/>
    <cellStyle name="40% - Accent1 27" xfId="4499"/>
    <cellStyle name="40% - Accent1 28" xfId="4540"/>
    <cellStyle name="40% - Accent1 29" xfId="4581"/>
    <cellStyle name="40% - Accent1 3" xfId="286"/>
    <cellStyle name="40% - Accent1 3 2" xfId="775"/>
    <cellStyle name="40% - Accent1 3 2 2" xfId="1720"/>
    <cellStyle name="40% - Accent1 3 2 3" xfId="2326"/>
    <cellStyle name="40% - Accent1 3 2 4" xfId="2880"/>
    <cellStyle name="40% - Accent1 3 2 5" xfId="3392"/>
    <cellStyle name="40% - Accent1 3 2 6" xfId="3816"/>
    <cellStyle name="40% - Accent1 3 3" xfId="1248"/>
    <cellStyle name="40% - Accent1 3 4" xfId="979"/>
    <cellStyle name="40% - Accent1 3 5" xfId="2014"/>
    <cellStyle name="40% - Accent1 3 6" xfId="2578"/>
    <cellStyle name="40% - Accent1 3 7" xfId="3111"/>
    <cellStyle name="40% - Accent1 30" xfId="4623"/>
    <cellStyle name="40% - Accent1 31" xfId="4665"/>
    <cellStyle name="40% - Accent1 32" xfId="4706"/>
    <cellStyle name="40% - Accent1 33" xfId="4747"/>
    <cellStyle name="40% - Accent1 34" xfId="4788"/>
    <cellStyle name="40% - Accent1 35" xfId="4829"/>
    <cellStyle name="40% - Accent1 36" xfId="4870"/>
    <cellStyle name="40% - Accent1 4" xfId="327"/>
    <cellStyle name="40% - Accent1 4 2" xfId="788"/>
    <cellStyle name="40% - Accent1 4 2 2" xfId="1733"/>
    <cellStyle name="40% - Accent1 4 2 3" xfId="2339"/>
    <cellStyle name="40% - Accent1 4 2 4" xfId="2893"/>
    <cellStyle name="40% - Accent1 4 2 5" xfId="3405"/>
    <cellStyle name="40% - Accent1 4 2 6" xfId="3829"/>
    <cellStyle name="40% - Accent1 4 3" xfId="1285"/>
    <cellStyle name="40% - Accent1 4 4" xfId="1334"/>
    <cellStyle name="40% - Accent1 4 5" xfId="1954"/>
    <cellStyle name="40% - Accent1 4 6" xfId="2449"/>
    <cellStyle name="40% - Accent1 4 7" xfId="3000"/>
    <cellStyle name="40% - Accent1 5" xfId="368"/>
    <cellStyle name="40% - Accent1 5 2" xfId="801"/>
    <cellStyle name="40% - Accent1 5 2 2" xfId="1746"/>
    <cellStyle name="40% - Accent1 5 2 3" xfId="2352"/>
    <cellStyle name="40% - Accent1 5 2 4" xfId="2906"/>
    <cellStyle name="40% - Accent1 5 2 5" xfId="3418"/>
    <cellStyle name="40% - Accent1 5 2 6" xfId="3842"/>
    <cellStyle name="40% - Accent1 5 3" xfId="1325"/>
    <cellStyle name="40% - Accent1 5 4" xfId="963"/>
    <cellStyle name="40% - Accent1 5 5" xfId="1346"/>
    <cellStyle name="40% - Accent1 5 6" xfId="1241"/>
    <cellStyle name="40% - Accent1 5 7" xfId="2081"/>
    <cellStyle name="40% - Accent1 6" xfId="409"/>
    <cellStyle name="40% - Accent1 6 2" xfId="814"/>
    <cellStyle name="40% - Accent1 6 2 2" xfId="1759"/>
    <cellStyle name="40% - Accent1 6 2 3" xfId="2365"/>
    <cellStyle name="40% - Accent1 6 2 4" xfId="2919"/>
    <cellStyle name="40% - Accent1 6 2 5" xfId="3431"/>
    <cellStyle name="40% - Accent1 6 2 6" xfId="3855"/>
    <cellStyle name="40% - Accent1 6 3" xfId="1365"/>
    <cellStyle name="40% - Accent1 6 4" xfId="1975"/>
    <cellStyle name="40% - Accent1 6 5" xfId="1400"/>
    <cellStyle name="40% - Accent1 6 6" xfId="2006"/>
    <cellStyle name="40% - Accent1 6 7" xfId="2572"/>
    <cellStyle name="40% - Accent1 7" xfId="450"/>
    <cellStyle name="40% - Accent1 7 2" xfId="827"/>
    <cellStyle name="40% - Accent1 7 2 2" xfId="1772"/>
    <cellStyle name="40% - Accent1 7 2 3" xfId="2378"/>
    <cellStyle name="40% - Accent1 7 2 4" xfId="2932"/>
    <cellStyle name="40% - Accent1 7 2 5" xfId="3444"/>
    <cellStyle name="40% - Accent1 7 2 6" xfId="3868"/>
    <cellStyle name="40% - Accent1 7 3" xfId="1405"/>
    <cellStyle name="40% - Accent1 7 4" xfId="2012"/>
    <cellStyle name="40% - Accent1 7 5" xfId="2577"/>
    <cellStyle name="40% - Accent1 7 6" xfId="3110"/>
    <cellStyle name="40% - Accent1 7 7" xfId="3587"/>
    <cellStyle name="40% - Accent1 8" xfId="491"/>
    <cellStyle name="40% - Accent1 8 2" xfId="840"/>
    <cellStyle name="40% - Accent1 8 2 2" xfId="1785"/>
    <cellStyle name="40% - Accent1 8 2 3" xfId="2391"/>
    <cellStyle name="40% - Accent1 8 2 4" xfId="2945"/>
    <cellStyle name="40% - Accent1 8 2 5" xfId="3457"/>
    <cellStyle name="40% - Accent1 8 2 6" xfId="3881"/>
    <cellStyle name="40% - Accent1 8 3" xfId="1442"/>
    <cellStyle name="40% - Accent1 8 4" xfId="2049"/>
    <cellStyle name="40% - Accent1 8 5" xfId="2613"/>
    <cellStyle name="40% - Accent1 8 6" xfId="3139"/>
    <cellStyle name="40% - Accent1 8 7" xfId="3600"/>
    <cellStyle name="40% - Accent1 9" xfId="532"/>
    <cellStyle name="40% - Accent1 9 2" xfId="853"/>
    <cellStyle name="40% - Accent1 9 2 2" xfId="1798"/>
    <cellStyle name="40% - Accent1 9 2 3" xfId="2404"/>
    <cellStyle name="40% - Accent1 9 2 4" xfId="2958"/>
    <cellStyle name="40% - Accent1 9 2 5" xfId="3470"/>
    <cellStyle name="40% - Accent1 9 2 6" xfId="3894"/>
    <cellStyle name="40% - Accent1 9 3" xfId="1480"/>
    <cellStyle name="40% - Accent1 9 4" xfId="2089"/>
    <cellStyle name="40% - Accent1 9 5" xfId="2650"/>
    <cellStyle name="40% - Accent1 9 6" xfId="3170"/>
    <cellStyle name="40% - Accent1 9 7" xfId="3613"/>
    <cellStyle name="40% - Accent2 10" xfId="577"/>
    <cellStyle name="40% - Accent2 10 2" xfId="868"/>
    <cellStyle name="40% - Accent2 10 2 2" xfId="1813"/>
    <cellStyle name="40% - Accent2 10 2 3" xfId="2419"/>
    <cellStyle name="40% - Accent2 10 2 4" xfId="2973"/>
    <cellStyle name="40% - Accent2 10 2 5" xfId="3485"/>
    <cellStyle name="40% - Accent2 10 2 6" xfId="3909"/>
    <cellStyle name="40% - Accent2 10 3" xfId="1524"/>
    <cellStyle name="40% - Accent2 10 4" xfId="2131"/>
    <cellStyle name="40% - Accent2 10 5" xfId="2686"/>
    <cellStyle name="40% - Accent2 10 6" xfId="3200"/>
    <cellStyle name="40% - Accent2 10 7" xfId="3628"/>
    <cellStyle name="40% - Accent2 11" xfId="901"/>
    <cellStyle name="40% - Accent2 11 2" xfId="1842"/>
    <cellStyle name="40% - Accent2 11 3" xfId="2452"/>
    <cellStyle name="40% - Accent2 11 4" xfId="3003"/>
    <cellStyle name="40% - Accent2 11 5" xfId="3512"/>
    <cellStyle name="40% - Accent2 11 6" xfId="3923"/>
    <cellStyle name="40% - Accent2 12" xfId="942"/>
    <cellStyle name="40% - Accent2 12 2" xfId="1882"/>
    <cellStyle name="40% - Accent2 12 3" xfId="2492"/>
    <cellStyle name="40% - Accent2 12 4" xfId="3039"/>
    <cellStyle name="40% - Accent2 12 5" xfId="3544"/>
    <cellStyle name="40% - Accent2 12 6" xfId="3936"/>
    <cellStyle name="40% - Accent2 13" xfId="1923"/>
    <cellStyle name="40% - Accent2 14" xfId="3969"/>
    <cellStyle name="40% - Accent2 15" xfId="4010"/>
    <cellStyle name="40% - Accent2 16" xfId="4051"/>
    <cellStyle name="40% - Accent2 17" xfId="4092"/>
    <cellStyle name="40% - Accent2 18" xfId="4133"/>
    <cellStyle name="40% - Accent2 19" xfId="4174"/>
    <cellStyle name="40% - Accent2 2" xfId="9"/>
    <cellStyle name="40% - Accent2 2 10" xfId="3105"/>
    <cellStyle name="40% - Accent2 2 2" xfId="101"/>
    <cellStyle name="40% - Accent2 2 2 2" xfId="164"/>
    <cellStyle name="40% - Accent2 2 2 2 2" xfId="253"/>
    <cellStyle name="40% - Accent2 2 2 2 2 2" xfId="759"/>
    <cellStyle name="40% - Accent2 2 2 2 2 2 2" xfId="1704"/>
    <cellStyle name="40% - Accent2 2 2 2 2 2 3" xfId="2310"/>
    <cellStyle name="40% - Accent2 2 2 2 2 2 4" xfId="2864"/>
    <cellStyle name="40% - Accent2 2 2 2 2 2 5" xfId="3376"/>
    <cellStyle name="40% - Accent2 2 2 2 2 2 6" xfId="3800"/>
    <cellStyle name="40% - Accent2 2 2 2 2 3" xfId="1216"/>
    <cellStyle name="40% - Accent2 2 2 2 2 4" xfId="1411"/>
    <cellStyle name="40% - Accent2 2 2 2 2 5" xfId="2536"/>
    <cellStyle name="40% - Accent2 2 2 2 2 6" xfId="3076"/>
    <cellStyle name="40% - Accent2 2 2 2 2 7" xfId="3571"/>
    <cellStyle name="40% - Accent2 2 2 2 3" xfId="671"/>
    <cellStyle name="40% - Accent2 2 2 2 3 2" xfId="1616"/>
    <cellStyle name="40% - Accent2 2 2 2 3 3" xfId="2222"/>
    <cellStyle name="40% - Accent2 2 2 2 3 4" xfId="2776"/>
    <cellStyle name="40% - Accent2 2 2 2 3 5" xfId="3288"/>
    <cellStyle name="40% - Accent2 2 2 2 3 6" xfId="3712"/>
    <cellStyle name="40% - Accent2 2 2 2 4" xfId="1127"/>
    <cellStyle name="40% - Accent2 2 2 2 5" xfId="1477"/>
    <cellStyle name="40% - Accent2 2 2 2 6" xfId="2076"/>
    <cellStyle name="40% - Accent2 2 2 2 7" xfId="2639"/>
    <cellStyle name="40% - Accent2 2 2 2 8" xfId="3160"/>
    <cellStyle name="40% - Accent2 2 2 3" xfId="209"/>
    <cellStyle name="40% - Accent2 2 2 3 2" xfId="715"/>
    <cellStyle name="40% - Accent2 2 2 3 2 2" xfId="1660"/>
    <cellStyle name="40% - Accent2 2 2 3 2 3" xfId="2266"/>
    <cellStyle name="40% - Accent2 2 2 3 2 4" xfId="2820"/>
    <cellStyle name="40% - Accent2 2 2 3 2 5" xfId="3332"/>
    <cellStyle name="40% - Accent2 2 2 3 2 6" xfId="3756"/>
    <cellStyle name="40% - Accent2 2 2 3 3" xfId="1172"/>
    <cellStyle name="40% - Accent2 2 2 3 4" xfId="1236"/>
    <cellStyle name="40% - Accent2 2 2 3 5" xfId="1968"/>
    <cellStyle name="40% - Accent2 2 2 3 6" xfId="2541"/>
    <cellStyle name="40% - Accent2 2 2 3 7" xfId="3080"/>
    <cellStyle name="40% - Accent2 2 2 4" xfId="627"/>
    <cellStyle name="40% - Accent2 2 2 4 2" xfId="1572"/>
    <cellStyle name="40% - Accent2 2 2 4 3" xfId="2178"/>
    <cellStyle name="40% - Accent2 2 2 4 4" xfId="2732"/>
    <cellStyle name="40% - Accent2 2 2 4 5" xfId="3244"/>
    <cellStyle name="40% - Accent2 2 2 4 6" xfId="3668"/>
    <cellStyle name="40% - Accent2 2 2 5" xfId="1083"/>
    <cellStyle name="40% - Accent2 2 2 6" xfId="1310"/>
    <cellStyle name="40% - Accent2 2 2 7" xfId="2512"/>
    <cellStyle name="40% - Accent2 2 2 8" xfId="3058"/>
    <cellStyle name="40% - Accent2 2 2 9" xfId="3559"/>
    <cellStyle name="40% - Accent2 2 3" xfId="142"/>
    <cellStyle name="40% - Accent2 2 3 2" xfId="231"/>
    <cellStyle name="40% - Accent2 2 3 2 2" xfId="737"/>
    <cellStyle name="40% - Accent2 2 3 2 2 2" xfId="1682"/>
    <cellStyle name="40% - Accent2 2 3 2 2 3" xfId="2288"/>
    <cellStyle name="40% - Accent2 2 3 2 2 4" xfId="2842"/>
    <cellStyle name="40% - Accent2 2 3 2 2 5" xfId="3354"/>
    <cellStyle name="40% - Accent2 2 3 2 2 6" xfId="3778"/>
    <cellStyle name="40% - Accent2 2 3 2 3" xfId="1194"/>
    <cellStyle name="40% - Accent2 2 3 2 4" xfId="1339"/>
    <cellStyle name="40% - Accent2 2 3 2 5" xfId="1427"/>
    <cellStyle name="40% - Accent2 2 3 2 6" xfId="1039"/>
    <cellStyle name="40% - Accent2 2 3 2 7" xfId="973"/>
    <cellStyle name="40% - Accent2 2 3 3" xfId="649"/>
    <cellStyle name="40% - Accent2 2 3 3 2" xfId="1594"/>
    <cellStyle name="40% - Accent2 2 3 3 3" xfId="2200"/>
    <cellStyle name="40% - Accent2 2 3 3 4" xfId="2754"/>
    <cellStyle name="40% - Accent2 2 3 3 5" xfId="3266"/>
    <cellStyle name="40% - Accent2 2 3 3 6" xfId="3690"/>
    <cellStyle name="40% - Accent2 2 3 4" xfId="1105"/>
    <cellStyle name="40% - Accent2 2 3 5" xfId="1388"/>
    <cellStyle name="40% - Accent2 2 3 6" xfId="1326"/>
    <cellStyle name="40% - Accent2 2 3 7" xfId="2021"/>
    <cellStyle name="40% - Accent2 2 3 8" xfId="2585"/>
    <cellStyle name="40% - Accent2 2 4" xfId="187"/>
    <cellStyle name="40% - Accent2 2 4 2" xfId="693"/>
    <cellStyle name="40% - Accent2 2 4 2 2" xfId="1638"/>
    <cellStyle name="40% - Accent2 2 4 2 3" xfId="2244"/>
    <cellStyle name="40% - Accent2 2 4 2 4" xfId="2798"/>
    <cellStyle name="40% - Accent2 2 4 2 5" xfId="3310"/>
    <cellStyle name="40% - Accent2 2 4 2 6" xfId="3734"/>
    <cellStyle name="40% - Accent2 2 4 3" xfId="1150"/>
    <cellStyle name="40% - Accent2 2 4 4" xfId="1871"/>
    <cellStyle name="40% - Accent2 2 4 5" xfId="2444"/>
    <cellStyle name="40% - Accent2 2 4 6" xfId="2996"/>
    <cellStyle name="40% - Accent2 2 4 7" xfId="3507"/>
    <cellStyle name="40% - Accent2 2 5" xfId="605"/>
    <cellStyle name="40% - Accent2 2 5 2" xfId="1550"/>
    <cellStyle name="40% - Accent2 2 5 3" xfId="2156"/>
    <cellStyle name="40% - Accent2 2 5 4" xfId="2710"/>
    <cellStyle name="40% - Accent2 2 5 5" xfId="3222"/>
    <cellStyle name="40% - Accent2 2 5 6" xfId="3646"/>
    <cellStyle name="40% - Accent2 2 6" xfId="1051"/>
    <cellStyle name="40% - Accent2 2 7" xfId="1870"/>
    <cellStyle name="40% - Accent2 2 8" xfId="2004"/>
    <cellStyle name="40% - Accent2 2 9" xfId="2570"/>
    <cellStyle name="40% - Accent2 20" xfId="4215"/>
    <cellStyle name="40% - Accent2 21" xfId="4256"/>
    <cellStyle name="40% - Accent2 22" xfId="4297"/>
    <cellStyle name="40% - Accent2 23" xfId="4339"/>
    <cellStyle name="40% - Accent2 24" xfId="4380"/>
    <cellStyle name="40% - Accent2 25" xfId="4421"/>
    <cellStyle name="40% - Accent2 26" xfId="4462"/>
    <cellStyle name="40% - Accent2 27" xfId="4503"/>
    <cellStyle name="40% - Accent2 28" xfId="4544"/>
    <cellStyle name="40% - Accent2 29" xfId="4585"/>
    <cellStyle name="40% - Accent2 3" xfId="290"/>
    <cellStyle name="40% - Accent2 3 2" xfId="777"/>
    <cellStyle name="40% - Accent2 3 2 2" xfId="1722"/>
    <cellStyle name="40% - Accent2 3 2 3" xfId="2328"/>
    <cellStyle name="40% - Accent2 3 2 4" xfId="2882"/>
    <cellStyle name="40% - Accent2 3 2 5" xfId="3394"/>
    <cellStyle name="40% - Accent2 3 2 6" xfId="3818"/>
    <cellStyle name="40% - Accent2 3 3" xfId="1252"/>
    <cellStyle name="40% - Accent2 3 4" xfId="1386"/>
    <cellStyle name="40% - Accent2 3 5" xfId="1463"/>
    <cellStyle name="40% - Accent2 3 6" xfId="961"/>
    <cellStyle name="40% - Accent2 3 7" xfId="2528"/>
    <cellStyle name="40% - Accent2 30" xfId="4627"/>
    <cellStyle name="40% - Accent2 31" xfId="4669"/>
    <cellStyle name="40% - Accent2 32" xfId="4710"/>
    <cellStyle name="40% - Accent2 33" xfId="4751"/>
    <cellStyle name="40% - Accent2 34" xfId="4792"/>
    <cellStyle name="40% - Accent2 35" xfId="4833"/>
    <cellStyle name="40% - Accent2 36" xfId="4874"/>
    <cellStyle name="40% - Accent2 4" xfId="331"/>
    <cellStyle name="40% - Accent2 4 2" xfId="790"/>
    <cellStyle name="40% - Accent2 4 2 2" xfId="1735"/>
    <cellStyle name="40% - Accent2 4 2 3" xfId="2341"/>
    <cellStyle name="40% - Accent2 4 2 4" xfId="2895"/>
    <cellStyle name="40% - Accent2 4 2 5" xfId="3407"/>
    <cellStyle name="40% - Accent2 4 2 6" xfId="3831"/>
    <cellStyle name="40% - Accent2 4 3" xfId="1289"/>
    <cellStyle name="40% - Accent2 4 4" xfId="1887"/>
    <cellStyle name="40% - Accent2 4 5" xfId="2539"/>
    <cellStyle name="40% - Accent2 4 6" xfId="3078"/>
    <cellStyle name="40% - Accent2 4 7" xfId="3572"/>
    <cellStyle name="40% - Accent2 5" xfId="372"/>
    <cellStyle name="40% - Accent2 5 2" xfId="803"/>
    <cellStyle name="40% - Accent2 5 2 2" xfId="1748"/>
    <cellStyle name="40% - Accent2 5 2 3" xfId="2354"/>
    <cellStyle name="40% - Accent2 5 2 4" xfId="2908"/>
    <cellStyle name="40% - Accent2 5 2 5" xfId="3420"/>
    <cellStyle name="40% - Accent2 5 2 6" xfId="3844"/>
    <cellStyle name="40% - Accent2 5 3" xfId="1329"/>
    <cellStyle name="40% - Accent2 5 4" xfId="1942"/>
    <cellStyle name="40% - Accent2 5 5" xfId="2453"/>
    <cellStyle name="40% - Accent2 5 6" xfId="3004"/>
    <cellStyle name="40% - Accent2 5 7" xfId="3513"/>
    <cellStyle name="40% - Accent2 6" xfId="413"/>
    <cellStyle name="40% - Accent2 6 2" xfId="816"/>
    <cellStyle name="40% - Accent2 6 2 2" xfId="1761"/>
    <cellStyle name="40% - Accent2 6 2 3" xfId="2367"/>
    <cellStyle name="40% - Accent2 6 2 4" xfId="2921"/>
    <cellStyle name="40% - Accent2 6 2 5" xfId="3433"/>
    <cellStyle name="40% - Accent2 6 2 6" xfId="3857"/>
    <cellStyle name="40% - Accent2 6 3" xfId="1369"/>
    <cellStyle name="40% - Accent2 6 4" xfId="1978"/>
    <cellStyle name="40% - Accent2 6 5" xfId="2545"/>
    <cellStyle name="40% - Accent2 6 6" xfId="3084"/>
    <cellStyle name="40% - Accent2 6 7" xfId="3576"/>
    <cellStyle name="40% - Accent2 7" xfId="454"/>
    <cellStyle name="40% - Accent2 7 2" xfId="829"/>
    <cellStyle name="40% - Accent2 7 2 2" xfId="1774"/>
    <cellStyle name="40% - Accent2 7 2 3" xfId="2380"/>
    <cellStyle name="40% - Accent2 7 2 4" xfId="2934"/>
    <cellStyle name="40% - Accent2 7 2 5" xfId="3446"/>
    <cellStyle name="40% - Accent2 7 2 6" xfId="3870"/>
    <cellStyle name="40% - Accent2 7 3" xfId="1409"/>
    <cellStyle name="40% - Accent2 7 4" xfId="2016"/>
    <cellStyle name="40% - Accent2 7 5" xfId="2580"/>
    <cellStyle name="40% - Accent2 7 6" xfId="3113"/>
    <cellStyle name="40% - Accent2 7 7" xfId="3589"/>
    <cellStyle name="40% - Accent2 8" xfId="495"/>
    <cellStyle name="40% - Accent2 8 2" xfId="842"/>
    <cellStyle name="40% - Accent2 8 2 2" xfId="1787"/>
    <cellStyle name="40% - Accent2 8 2 3" xfId="2393"/>
    <cellStyle name="40% - Accent2 8 2 4" xfId="2947"/>
    <cellStyle name="40% - Accent2 8 2 5" xfId="3459"/>
    <cellStyle name="40% - Accent2 8 2 6" xfId="3883"/>
    <cellStyle name="40% - Accent2 8 3" xfId="1446"/>
    <cellStyle name="40% - Accent2 8 4" xfId="2053"/>
    <cellStyle name="40% - Accent2 8 5" xfId="2617"/>
    <cellStyle name="40% - Accent2 8 6" xfId="3143"/>
    <cellStyle name="40% - Accent2 8 7" xfId="3602"/>
    <cellStyle name="40% - Accent2 9" xfId="536"/>
    <cellStyle name="40% - Accent2 9 2" xfId="855"/>
    <cellStyle name="40% - Accent2 9 2 2" xfId="1800"/>
    <cellStyle name="40% - Accent2 9 2 3" xfId="2406"/>
    <cellStyle name="40% - Accent2 9 2 4" xfId="2960"/>
    <cellStyle name="40% - Accent2 9 2 5" xfId="3472"/>
    <cellStyle name="40% - Accent2 9 2 6" xfId="3896"/>
    <cellStyle name="40% - Accent2 9 3" xfId="1484"/>
    <cellStyle name="40% - Accent2 9 4" xfId="2092"/>
    <cellStyle name="40% - Accent2 9 5" xfId="2653"/>
    <cellStyle name="40% - Accent2 9 6" xfId="3173"/>
    <cellStyle name="40% - Accent2 9 7" xfId="3615"/>
    <cellStyle name="40% - Accent3 10" xfId="581"/>
    <cellStyle name="40% - Accent3 10 2" xfId="870"/>
    <cellStyle name="40% - Accent3 10 2 2" xfId="1815"/>
    <cellStyle name="40% - Accent3 10 2 3" xfId="2421"/>
    <cellStyle name="40% - Accent3 10 2 4" xfId="2975"/>
    <cellStyle name="40% - Accent3 10 2 5" xfId="3487"/>
    <cellStyle name="40% - Accent3 10 2 6" xfId="3911"/>
    <cellStyle name="40% - Accent3 10 3" xfId="1528"/>
    <cellStyle name="40% - Accent3 10 4" xfId="2135"/>
    <cellStyle name="40% - Accent3 10 5" xfId="2689"/>
    <cellStyle name="40% - Accent3 10 6" xfId="3202"/>
    <cellStyle name="40% - Accent3 10 7" xfId="3630"/>
    <cellStyle name="40% - Accent3 11" xfId="905"/>
    <cellStyle name="40% - Accent3 11 2" xfId="1846"/>
    <cellStyle name="40% - Accent3 11 3" xfId="2456"/>
    <cellStyle name="40% - Accent3 11 4" xfId="3007"/>
    <cellStyle name="40% - Accent3 11 5" xfId="3516"/>
    <cellStyle name="40% - Accent3 11 6" xfId="3925"/>
    <cellStyle name="40% - Accent3 12" xfId="946"/>
    <cellStyle name="40% - Accent3 12 2" xfId="1886"/>
    <cellStyle name="40% - Accent3 12 3" xfId="2495"/>
    <cellStyle name="40% - Accent3 12 4" xfId="3042"/>
    <cellStyle name="40% - Accent3 12 5" xfId="3547"/>
    <cellStyle name="40% - Accent3 12 6" xfId="3938"/>
    <cellStyle name="40% - Accent3 13" xfId="1927"/>
    <cellStyle name="40% - Accent3 14" xfId="3973"/>
    <cellStyle name="40% - Accent3 15" xfId="4014"/>
    <cellStyle name="40% - Accent3 16" xfId="4055"/>
    <cellStyle name="40% - Accent3 17" xfId="4096"/>
    <cellStyle name="40% - Accent3 18" xfId="4137"/>
    <cellStyle name="40% - Accent3 19" xfId="4178"/>
    <cellStyle name="40% - Accent3 2" xfId="10"/>
    <cellStyle name="40% - Accent3 2 10" xfId="971"/>
    <cellStyle name="40% - Accent3 2 2" xfId="105"/>
    <cellStyle name="40% - Accent3 2 2 2" xfId="166"/>
    <cellStyle name="40% - Accent3 2 2 2 2" xfId="255"/>
    <cellStyle name="40% - Accent3 2 2 2 2 2" xfId="761"/>
    <cellStyle name="40% - Accent3 2 2 2 2 2 2" xfId="1706"/>
    <cellStyle name="40% - Accent3 2 2 2 2 2 3" xfId="2312"/>
    <cellStyle name="40% - Accent3 2 2 2 2 2 4" xfId="2866"/>
    <cellStyle name="40% - Accent3 2 2 2 2 2 5" xfId="3378"/>
    <cellStyle name="40% - Accent3 2 2 2 2 2 6" xfId="3802"/>
    <cellStyle name="40% - Accent3 2 2 2 2 3" xfId="1218"/>
    <cellStyle name="40% - Accent3 2 2 2 2 4" xfId="1331"/>
    <cellStyle name="40% - Accent3 2 2 2 2 5" xfId="2462"/>
    <cellStyle name="40% - Accent3 2 2 2 2 6" xfId="3013"/>
    <cellStyle name="40% - Accent3 2 2 2 2 7" xfId="3520"/>
    <cellStyle name="40% - Accent3 2 2 2 3" xfId="673"/>
    <cellStyle name="40% - Accent3 2 2 2 3 2" xfId="1618"/>
    <cellStyle name="40% - Accent3 2 2 2 3 3" xfId="2224"/>
    <cellStyle name="40% - Accent3 2 2 2 3 4" xfId="2778"/>
    <cellStyle name="40% - Accent3 2 2 2 3 5" xfId="3290"/>
    <cellStyle name="40% - Accent3 2 2 2 3 6" xfId="3714"/>
    <cellStyle name="40% - Accent3 2 2 2 4" xfId="1129"/>
    <cellStyle name="40% - Accent3 2 2 2 5" xfId="1402"/>
    <cellStyle name="40% - Accent3 2 2 2 6" xfId="2000"/>
    <cellStyle name="40% - Accent3 2 2 2 7" xfId="2566"/>
    <cellStyle name="40% - Accent3 2 2 2 8" xfId="3102"/>
    <cellStyle name="40% - Accent3 2 2 3" xfId="211"/>
    <cellStyle name="40% - Accent3 2 2 3 2" xfId="717"/>
    <cellStyle name="40% - Accent3 2 2 3 2 2" xfId="1662"/>
    <cellStyle name="40% - Accent3 2 2 3 2 3" xfId="2268"/>
    <cellStyle name="40% - Accent3 2 2 3 2 4" xfId="2822"/>
    <cellStyle name="40% - Accent3 2 2 3 2 5" xfId="3334"/>
    <cellStyle name="40% - Accent3 2 2 3 2 6" xfId="3758"/>
    <cellStyle name="40% - Accent3 2 2 3 3" xfId="1174"/>
    <cellStyle name="40% - Accent3 2 2 3 4" xfId="1866"/>
    <cellStyle name="40% - Accent3 2 2 3 5" xfId="1060"/>
    <cellStyle name="40% - Accent3 2 2 3 6" xfId="2543"/>
    <cellStyle name="40% - Accent3 2 2 3 7" xfId="3082"/>
    <cellStyle name="40% - Accent3 2 2 4" xfId="629"/>
    <cellStyle name="40% - Accent3 2 2 4 2" xfId="1574"/>
    <cellStyle name="40% - Accent3 2 2 4 3" xfId="2180"/>
    <cellStyle name="40% - Accent3 2 2 4 4" xfId="2734"/>
    <cellStyle name="40% - Accent3 2 2 4 5" xfId="3246"/>
    <cellStyle name="40% - Accent3 2 2 4 6" xfId="3670"/>
    <cellStyle name="40% - Accent3 2 2 5" xfId="1085"/>
    <cellStyle name="40% - Accent3 2 2 6" xfId="1233"/>
    <cellStyle name="40% - Accent3 2 2 7" xfId="2433"/>
    <cellStyle name="40% - Accent3 2 2 8" xfId="2987"/>
    <cellStyle name="40% - Accent3 2 2 9" xfId="3498"/>
    <cellStyle name="40% - Accent3 2 3" xfId="144"/>
    <cellStyle name="40% - Accent3 2 3 2" xfId="233"/>
    <cellStyle name="40% - Accent3 2 3 2 2" xfId="739"/>
    <cellStyle name="40% - Accent3 2 3 2 2 2" xfId="1684"/>
    <cellStyle name="40% - Accent3 2 3 2 2 3" xfId="2290"/>
    <cellStyle name="40% - Accent3 2 3 2 2 4" xfId="2844"/>
    <cellStyle name="40% - Accent3 2 3 2 2 5" xfId="3356"/>
    <cellStyle name="40% - Accent3 2 3 2 2 6" xfId="3780"/>
    <cellStyle name="40% - Accent3 2 3 2 3" xfId="1196"/>
    <cellStyle name="40% - Accent3 2 3 2 4" xfId="1261"/>
    <cellStyle name="40% - Accent3 2 3 2 5" xfId="2067"/>
    <cellStyle name="40% - Accent3 2 3 2 6" xfId="2630"/>
    <cellStyle name="40% - Accent3 2 3 2 7" xfId="3153"/>
    <cellStyle name="40% - Accent3 2 3 3" xfId="651"/>
    <cellStyle name="40% - Accent3 2 3 3 2" xfId="1596"/>
    <cellStyle name="40% - Accent3 2 3 3 3" xfId="2202"/>
    <cellStyle name="40% - Accent3 2 3 3 4" xfId="2756"/>
    <cellStyle name="40% - Accent3 2 3 3 5" xfId="3268"/>
    <cellStyle name="40% - Accent3 2 3 3 6" xfId="3692"/>
    <cellStyle name="40% - Accent3 2 3 4" xfId="1107"/>
    <cellStyle name="40% - Accent3 2 3 5" xfId="1308"/>
    <cellStyle name="40% - Accent3 2 3 6" xfId="1250"/>
    <cellStyle name="40% - Accent3 2 3 7" xfId="2136"/>
    <cellStyle name="40% - Accent3 2 3 8" xfId="2690"/>
    <cellStyle name="40% - Accent3 2 4" xfId="189"/>
    <cellStyle name="40% - Accent3 2 4 2" xfId="695"/>
    <cellStyle name="40% - Accent3 2 4 2 2" xfId="1640"/>
    <cellStyle name="40% - Accent3 2 4 2 3" xfId="2246"/>
    <cellStyle name="40% - Accent3 2 4 2 4" xfId="2800"/>
    <cellStyle name="40% - Accent3 2 4 2 5" xfId="3312"/>
    <cellStyle name="40% - Accent3 2 4 2 6" xfId="3736"/>
    <cellStyle name="40% - Accent3 2 4 3" xfId="1152"/>
    <cellStyle name="40% - Accent3 2 4 4" xfId="1513"/>
    <cellStyle name="40% - Accent3 2 4 5" xfId="1031"/>
    <cellStyle name="40% - Accent3 2 4 6" xfId="1855"/>
    <cellStyle name="40% - Accent3 2 4 7" xfId="2125"/>
    <cellStyle name="40% - Accent3 2 5" xfId="607"/>
    <cellStyle name="40% - Accent3 2 5 2" xfId="1552"/>
    <cellStyle name="40% - Accent3 2 5 3" xfId="2158"/>
    <cellStyle name="40% - Accent3 2 5 4" xfId="2712"/>
    <cellStyle name="40% - Accent3 2 5 5" xfId="3224"/>
    <cellStyle name="40% - Accent3 2 5 6" xfId="3648"/>
    <cellStyle name="40% - Accent3 2 6" xfId="1055"/>
    <cellStyle name="40% - Accent3 2 7" xfId="1472"/>
    <cellStyle name="40% - Accent3 2 8" xfId="1363"/>
    <cellStyle name="40% - Accent3 2 9" xfId="1512"/>
    <cellStyle name="40% - Accent3 20" xfId="4219"/>
    <cellStyle name="40% - Accent3 21" xfId="4260"/>
    <cellStyle name="40% - Accent3 22" xfId="4301"/>
    <cellStyle name="40% - Accent3 23" xfId="4343"/>
    <cellStyle name="40% - Accent3 24" xfId="4384"/>
    <cellStyle name="40% - Accent3 25" xfId="4425"/>
    <cellStyle name="40% - Accent3 26" xfId="4466"/>
    <cellStyle name="40% - Accent3 27" xfId="4507"/>
    <cellStyle name="40% - Accent3 28" xfId="4548"/>
    <cellStyle name="40% - Accent3 29" xfId="4589"/>
    <cellStyle name="40% - Accent3 3" xfId="294"/>
    <cellStyle name="40% - Accent3 3 2" xfId="779"/>
    <cellStyle name="40% - Accent3 3 2 2" xfId="1724"/>
    <cellStyle name="40% - Accent3 3 2 3" xfId="2330"/>
    <cellStyle name="40% - Accent3 3 2 4" xfId="2884"/>
    <cellStyle name="40% - Accent3 3 2 5" xfId="3396"/>
    <cellStyle name="40% - Accent3 3 2 6" xfId="3820"/>
    <cellStyle name="40% - Accent3 3 3" xfId="1256"/>
    <cellStyle name="40% - Accent3 3 4" xfId="1068"/>
    <cellStyle name="40% - Accent3 3 5" xfId="2450"/>
    <cellStyle name="40% - Accent3 3 6" xfId="3001"/>
    <cellStyle name="40% - Accent3 3 7" xfId="3510"/>
    <cellStyle name="40% - Accent3 30" xfId="4631"/>
    <cellStyle name="40% - Accent3 31" xfId="4673"/>
    <cellStyle name="40% - Accent3 32" xfId="4714"/>
    <cellStyle name="40% - Accent3 33" xfId="4755"/>
    <cellStyle name="40% - Accent3 34" xfId="4796"/>
    <cellStyle name="40% - Accent3 35" xfId="4837"/>
    <cellStyle name="40% - Accent3 36" xfId="4878"/>
    <cellStyle name="40% - Accent3 4" xfId="335"/>
    <cellStyle name="40% - Accent3 4 2" xfId="792"/>
    <cellStyle name="40% - Accent3 4 2 2" xfId="1737"/>
    <cellStyle name="40% - Accent3 4 2 3" xfId="2343"/>
    <cellStyle name="40% - Accent3 4 2 4" xfId="2897"/>
    <cellStyle name="40% - Accent3 4 2 5" xfId="3409"/>
    <cellStyle name="40% - Accent3 4 2 6" xfId="3833"/>
    <cellStyle name="40% - Accent3 4 3" xfId="1293"/>
    <cellStyle name="40% - Accent3 4 4" xfId="1485"/>
    <cellStyle name="40% - Accent3 4 5" xfId="1283"/>
    <cellStyle name="40% - Accent3 4 6" xfId="966"/>
    <cellStyle name="40% - Accent3 4 7" xfId="1979"/>
    <cellStyle name="40% - Accent3 5" xfId="376"/>
    <cellStyle name="40% - Accent3 5 2" xfId="805"/>
    <cellStyle name="40% - Accent3 5 2 2" xfId="1750"/>
    <cellStyle name="40% - Accent3 5 2 3" xfId="2356"/>
    <cellStyle name="40% - Accent3 5 2 4" xfId="2910"/>
    <cellStyle name="40% - Accent3 5 2 5" xfId="3422"/>
    <cellStyle name="40% - Accent3 5 2 6" xfId="3846"/>
    <cellStyle name="40% - Accent3 5 3" xfId="1333"/>
    <cellStyle name="40% - Accent3 5 4" xfId="1945"/>
    <cellStyle name="40% - Accent3 5 5" xfId="2050"/>
    <cellStyle name="40% - Accent3 5 6" xfId="2614"/>
    <cellStyle name="40% - Accent3 5 7" xfId="3140"/>
    <cellStyle name="40% - Accent3 6" xfId="417"/>
    <cellStyle name="40% - Accent3 6 2" xfId="818"/>
    <cellStyle name="40% - Accent3 6 2 2" xfId="1763"/>
    <cellStyle name="40% - Accent3 6 2 3" xfId="2369"/>
    <cellStyle name="40% - Accent3 6 2 4" xfId="2923"/>
    <cellStyle name="40% - Accent3 6 2 5" xfId="3435"/>
    <cellStyle name="40% - Accent3 6 2 6" xfId="3859"/>
    <cellStyle name="40% - Accent3 6 3" xfId="1373"/>
    <cellStyle name="40% - Accent3 6 4" xfId="1981"/>
    <cellStyle name="40% - Accent3 6 5" xfId="2547"/>
    <cellStyle name="40% - Accent3 6 6" xfId="3086"/>
    <cellStyle name="40% - Accent3 6 7" xfId="3578"/>
    <cellStyle name="40% - Accent3 7" xfId="458"/>
    <cellStyle name="40% - Accent3 7 2" xfId="831"/>
    <cellStyle name="40% - Accent3 7 2 2" xfId="1776"/>
    <cellStyle name="40% - Accent3 7 2 3" xfId="2382"/>
    <cellStyle name="40% - Accent3 7 2 4" xfId="2936"/>
    <cellStyle name="40% - Accent3 7 2 5" xfId="3448"/>
    <cellStyle name="40% - Accent3 7 2 6" xfId="3872"/>
    <cellStyle name="40% - Accent3 7 3" xfId="1413"/>
    <cellStyle name="40% - Accent3 7 4" xfId="2020"/>
    <cellStyle name="40% - Accent3 7 5" xfId="2584"/>
    <cellStyle name="40% - Accent3 7 6" xfId="3115"/>
    <cellStyle name="40% - Accent3 7 7" xfId="3591"/>
    <cellStyle name="40% - Accent3 8" xfId="499"/>
    <cellStyle name="40% - Accent3 8 2" xfId="844"/>
    <cellStyle name="40% - Accent3 8 2 2" xfId="1789"/>
    <cellStyle name="40% - Accent3 8 2 3" xfId="2395"/>
    <cellStyle name="40% - Accent3 8 2 4" xfId="2949"/>
    <cellStyle name="40% - Accent3 8 2 5" xfId="3461"/>
    <cellStyle name="40% - Accent3 8 2 6" xfId="3885"/>
    <cellStyle name="40% - Accent3 8 3" xfId="1450"/>
    <cellStyle name="40% - Accent3 8 4" xfId="2057"/>
    <cellStyle name="40% - Accent3 8 5" xfId="2621"/>
    <cellStyle name="40% - Accent3 8 6" xfId="3146"/>
    <cellStyle name="40% - Accent3 8 7" xfId="3604"/>
    <cellStyle name="40% - Accent3 9" xfId="540"/>
    <cellStyle name="40% - Accent3 9 2" xfId="857"/>
    <cellStyle name="40% - Accent3 9 2 2" xfId="1802"/>
    <cellStyle name="40% - Accent3 9 2 3" xfId="2408"/>
    <cellStyle name="40% - Accent3 9 2 4" xfId="2962"/>
    <cellStyle name="40% - Accent3 9 2 5" xfId="3474"/>
    <cellStyle name="40% - Accent3 9 2 6" xfId="3898"/>
    <cellStyle name="40% - Accent3 9 3" xfId="1488"/>
    <cellStyle name="40% - Accent3 9 4" xfId="2095"/>
    <cellStyle name="40% - Accent3 9 5" xfId="2656"/>
    <cellStyle name="40% - Accent3 9 6" xfId="3175"/>
    <cellStyle name="40% - Accent3 9 7" xfId="3617"/>
    <cellStyle name="40% - Accent4 10" xfId="585"/>
    <cellStyle name="40% - Accent4 10 2" xfId="872"/>
    <cellStyle name="40% - Accent4 10 2 2" xfId="1817"/>
    <cellStyle name="40% - Accent4 10 2 3" xfId="2423"/>
    <cellStyle name="40% - Accent4 10 2 4" xfId="2977"/>
    <cellStyle name="40% - Accent4 10 2 5" xfId="3489"/>
    <cellStyle name="40% - Accent4 10 2 6" xfId="3913"/>
    <cellStyle name="40% - Accent4 10 3" xfId="1531"/>
    <cellStyle name="40% - Accent4 10 4" xfId="2138"/>
    <cellStyle name="40% - Accent4 10 5" xfId="2692"/>
    <cellStyle name="40% - Accent4 10 6" xfId="3204"/>
    <cellStyle name="40% - Accent4 10 7" xfId="3632"/>
    <cellStyle name="40% - Accent4 11" xfId="909"/>
    <cellStyle name="40% - Accent4 11 2" xfId="1850"/>
    <cellStyle name="40% - Accent4 11 3" xfId="2460"/>
    <cellStyle name="40% - Accent4 11 4" xfId="3011"/>
    <cellStyle name="40% - Accent4 11 5" xfId="3518"/>
    <cellStyle name="40% - Accent4 11 6" xfId="3927"/>
    <cellStyle name="40% - Accent4 12" xfId="950"/>
    <cellStyle name="40% - Accent4 12 2" xfId="1890"/>
    <cellStyle name="40% - Accent4 12 3" xfId="2498"/>
    <cellStyle name="40% - Accent4 12 4" xfId="3044"/>
    <cellStyle name="40% - Accent4 12 5" xfId="3549"/>
    <cellStyle name="40% - Accent4 12 6" xfId="3940"/>
    <cellStyle name="40% - Accent4 13" xfId="1931"/>
    <cellStyle name="40% - Accent4 14" xfId="3977"/>
    <cellStyle name="40% - Accent4 15" xfId="4018"/>
    <cellStyle name="40% - Accent4 16" xfId="4059"/>
    <cellStyle name="40% - Accent4 17" xfId="4100"/>
    <cellStyle name="40% - Accent4 18" xfId="4141"/>
    <cellStyle name="40% - Accent4 19" xfId="4182"/>
    <cellStyle name="40% - Accent4 2" xfId="11"/>
    <cellStyle name="40% - Accent4 2 10" xfId="3504"/>
    <cellStyle name="40% - Accent4 2 2" xfId="109"/>
    <cellStyle name="40% - Accent4 2 2 2" xfId="168"/>
    <cellStyle name="40% - Accent4 2 2 2 2" xfId="257"/>
    <cellStyle name="40% - Accent4 2 2 2 2 2" xfId="763"/>
    <cellStyle name="40% - Accent4 2 2 2 2 2 2" xfId="1708"/>
    <cellStyle name="40% - Accent4 2 2 2 2 2 3" xfId="2314"/>
    <cellStyle name="40% - Accent4 2 2 2 2 2 4" xfId="2868"/>
    <cellStyle name="40% - Accent4 2 2 2 2 2 5" xfId="3380"/>
    <cellStyle name="40% - Accent4 2 2 2 2 2 6" xfId="3804"/>
    <cellStyle name="40% - Accent4 2 2 2 2 3" xfId="1220"/>
    <cellStyle name="40% - Accent4 2 2 2 2 4" xfId="1254"/>
    <cellStyle name="40% - Accent4 2 2 2 2 5" xfId="1001"/>
    <cellStyle name="40% - Accent4 2 2 2 2 6" xfId="2445"/>
    <cellStyle name="40% - Accent4 2 2 2 2 7" xfId="2997"/>
    <cellStyle name="40% - Accent4 2 2 2 3" xfId="675"/>
    <cellStyle name="40% - Accent4 2 2 2 3 2" xfId="1620"/>
    <cellStyle name="40% - Accent4 2 2 2 3 3" xfId="2226"/>
    <cellStyle name="40% - Accent4 2 2 2 3 4" xfId="2780"/>
    <cellStyle name="40% - Accent4 2 2 2 3 5" xfId="3292"/>
    <cellStyle name="40% - Accent4 2 2 2 3 6" xfId="3716"/>
    <cellStyle name="40% - Accent4 2 2 2 4" xfId="1131"/>
    <cellStyle name="40% - Accent4 2 2 2 5" xfId="1322"/>
    <cellStyle name="40% - Accent4 2 2 2 6" xfId="1048"/>
    <cellStyle name="40% - Accent4 2 2 2 7" xfId="1447"/>
    <cellStyle name="40% - Accent4 2 2 2 8" xfId="2100"/>
    <cellStyle name="40% - Accent4 2 2 3" xfId="213"/>
    <cellStyle name="40% - Accent4 2 2 3 2" xfId="719"/>
    <cellStyle name="40% - Accent4 2 2 3 2 2" xfId="1664"/>
    <cellStyle name="40% - Accent4 2 2 3 2 3" xfId="2270"/>
    <cellStyle name="40% - Accent4 2 2 3 2 4" xfId="2824"/>
    <cellStyle name="40% - Accent4 2 2 3 2 5" xfId="3336"/>
    <cellStyle name="40% - Accent4 2 2 3 2 6" xfId="3760"/>
    <cellStyle name="40% - Accent4 2 2 3 3" xfId="1176"/>
    <cellStyle name="40% - Accent4 2 2 3 4" xfId="1507"/>
    <cellStyle name="40% - Accent4 2 2 3 5" xfId="1867"/>
    <cellStyle name="40% - Accent4 2 2 3 6" xfId="1966"/>
    <cellStyle name="40% - Accent4 2 2 3 7" xfId="1872"/>
    <cellStyle name="40% - Accent4 2 2 4" xfId="631"/>
    <cellStyle name="40% - Accent4 2 2 4 2" xfId="1576"/>
    <cellStyle name="40% - Accent4 2 2 4 3" xfId="2182"/>
    <cellStyle name="40% - Accent4 2 2 4 4" xfId="2736"/>
    <cellStyle name="40% - Accent4 2 2 4 5" xfId="3248"/>
    <cellStyle name="40% - Accent4 2 2 4 6" xfId="3672"/>
    <cellStyle name="40% - Accent4 2 2 5" xfId="1087"/>
    <cellStyle name="40% - Accent4 2 2 6" xfId="1863"/>
    <cellStyle name="40% - Accent4 2 2 7" xfId="999"/>
    <cellStyle name="40% - Accent4 2 2 8" xfId="2429"/>
    <cellStyle name="40% - Accent4 2 2 9" xfId="2983"/>
    <cellStyle name="40% - Accent4 2 3" xfId="146"/>
    <cellStyle name="40% - Accent4 2 3 2" xfId="235"/>
    <cellStyle name="40% - Accent4 2 3 2 2" xfId="741"/>
    <cellStyle name="40% - Accent4 2 3 2 2 2" xfId="1686"/>
    <cellStyle name="40% - Accent4 2 3 2 2 3" xfId="2292"/>
    <cellStyle name="40% - Accent4 2 3 2 2 4" xfId="2846"/>
    <cellStyle name="40% - Accent4 2 3 2 2 5" xfId="3358"/>
    <cellStyle name="40% - Accent4 2 3 2 2 6" xfId="3782"/>
    <cellStyle name="40% - Accent4 2 3 2 3" xfId="1198"/>
    <cellStyle name="40% - Accent4 2 3 2 4" xfId="1892"/>
    <cellStyle name="40% - Accent4 2 3 2 5" xfId="1991"/>
    <cellStyle name="40% - Accent4 2 3 2 6" xfId="2557"/>
    <cellStyle name="40% - Accent4 2 3 2 7" xfId="3095"/>
    <cellStyle name="40% - Accent4 2 3 3" xfId="653"/>
    <cellStyle name="40% - Accent4 2 3 3 2" xfId="1598"/>
    <cellStyle name="40% - Accent4 2 3 3 3" xfId="2204"/>
    <cellStyle name="40% - Accent4 2 3 3 4" xfId="2758"/>
    <cellStyle name="40% - Accent4 2 3 3 5" xfId="3270"/>
    <cellStyle name="40% - Accent4 2 3 3 6" xfId="3694"/>
    <cellStyle name="40% - Accent4 2 3 4" xfId="1109"/>
    <cellStyle name="40% - Accent4 2 3 5" xfId="1231"/>
    <cellStyle name="40% - Accent4 2 3 6" xfId="2510"/>
    <cellStyle name="40% - Accent4 2 3 7" xfId="3056"/>
    <cellStyle name="40% - Accent4 2 3 8" xfId="3557"/>
    <cellStyle name="40% - Accent4 2 4" xfId="191"/>
    <cellStyle name="40% - Accent4 2 4 2" xfId="697"/>
    <cellStyle name="40% - Accent4 2 4 2 2" xfId="1642"/>
    <cellStyle name="40% - Accent4 2 4 2 3" xfId="2248"/>
    <cellStyle name="40% - Accent4 2 4 2 4" xfId="2802"/>
    <cellStyle name="40% - Accent4 2 4 2 5" xfId="3314"/>
    <cellStyle name="40% - Accent4 2 4 2 6" xfId="3738"/>
    <cellStyle name="40% - Accent4 2 4 3" xfId="1154"/>
    <cellStyle name="40% - Accent4 2 4 4" xfId="1473"/>
    <cellStyle name="40% - Accent4 2 4 5" xfId="1269"/>
    <cellStyle name="40% - Accent4 2 4 6" xfId="1959"/>
    <cellStyle name="40% - Accent4 2 4 7" xfId="2538"/>
    <cellStyle name="40% - Accent4 2 5" xfId="609"/>
    <cellStyle name="40% - Accent4 2 5 2" xfId="1554"/>
    <cellStyle name="40% - Accent4 2 5 3" xfId="2160"/>
    <cellStyle name="40% - Accent4 2 5 4" xfId="2714"/>
    <cellStyle name="40% - Accent4 2 5 5" xfId="3226"/>
    <cellStyle name="40% - Accent4 2 5 6" xfId="3650"/>
    <cellStyle name="40% - Accent4 2 6" xfId="1059"/>
    <cellStyle name="40% - Accent4 2 7" xfId="1315"/>
    <cellStyle name="40% - Accent4 2 8" xfId="2440"/>
    <cellStyle name="40% - Accent4 2 9" xfId="2993"/>
    <cellStyle name="40% - Accent4 20" xfId="4223"/>
    <cellStyle name="40% - Accent4 21" xfId="4264"/>
    <cellStyle name="40% - Accent4 22" xfId="4305"/>
    <cellStyle name="40% - Accent4 23" xfId="4347"/>
    <cellStyle name="40% - Accent4 24" xfId="4388"/>
    <cellStyle name="40% - Accent4 25" xfId="4429"/>
    <cellStyle name="40% - Accent4 26" xfId="4470"/>
    <cellStyle name="40% - Accent4 27" xfId="4511"/>
    <cellStyle name="40% - Accent4 28" xfId="4552"/>
    <cellStyle name="40% - Accent4 29" xfId="4593"/>
    <cellStyle name="40% - Accent4 3" xfId="298"/>
    <cellStyle name="40% - Accent4 3 2" xfId="781"/>
    <cellStyle name="40% - Accent4 3 2 2" xfId="1726"/>
    <cellStyle name="40% - Accent4 3 2 3" xfId="2332"/>
    <cellStyle name="40% - Accent4 3 2 4" xfId="2886"/>
    <cellStyle name="40% - Accent4 3 2 5" xfId="3398"/>
    <cellStyle name="40% - Accent4 3 2 6" xfId="3822"/>
    <cellStyle name="40% - Accent4 3 3" xfId="1260"/>
    <cellStyle name="40% - Accent4 3 4" xfId="978"/>
    <cellStyle name="40% - Accent4 3 5" xfId="2047"/>
    <cellStyle name="40% - Accent4 3 6" xfId="2611"/>
    <cellStyle name="40% - Accent4 3 7" xfId="3137"/>
    <cellStyle name="40% - Accent4 30" xfId="4635"/>
    <cellStyle name="40% - Accent4 31" xfId="4677"/>
    <cellStyle name="40% - Accent4 32" xfId="4718"/>
    <cellStyle name="40% - Accent4 33" xfId="4759"/>
    <cellStyle name="40% - Accent4 34" xfId="4800"/>
    <cellStyle name="40% - Accent4 35" xfId="4841"/>
    <cellStyle name="40% - Accent4 36" xfId="4882"/>
    <cellStyle name="40% - Accent4 4" xfId="339"/>
    <cellStyle name="40% - Accent4 4 2" xfId="794"/>
    <cellStyle name="40% - Accent4 4 2 2" xfId="1739"/>
    <cellStyle name="40% - Accent4 4 2 3" xfId="2345"/>
    <cellStyle name="40% - Accent4 4 2 4" xfId="2899"/>
    <cellStyle name="40% - Accent4 4 2 5" xfId="3411"/>
    <cellStyle name="40% - Accent4 4 2 6" xfId="3835"/>
    <cellStyle name="40% - Accent4 4 3" xfId="1297"/>
    <cellStyle name="40% - Accent4 4 4" xfId="1330"/>
    <cellStyle name="40% - Accent4 4 5" xfId="1986"/>
    <cellStyle name="40% - Accent4 4 6" xfId="2552"/>
    <cellStyle name="40% - Accent4 4 7" xfId="3090"/>
    <cellStyle name="40% - Accent4 5" xfId="380"/>
    <cellStyle name="40% - Accent4 5 2" xfId="807"/>
    <cellStyle name="40% - Accent4 5 2 2" xfId="1752"/>
    <cellStyle name="40% - Accent4 5 2 3" xfId="2358"/>
    <cellStyle name="40% - Accent4 5 2 4" xfId="2912"/>
    <cellStyle name="40% - Accent4 5 2 5" xfId="3424"/>
    <cellStyle name="40% - Accent4 5 2 6" xfId="3848"/>
    <cellStyle name="40% - Accent4 5 3" xfId="1337"/>
    <cellStyle name="40% - Accent4 5 4" xfId="1949"/>
    <cellStyle name="40% - Accent4 5 5" xfId="1294"/>
    <cellStyle name="40% - Accent4 5 6" xfId="1843"/>
    <cellStyle name="40% - Accent4 5 7" xfId="2535"/>
    <cellStyle name="40% - Accent4 6" xfId="421"/>
    <cellStyle name="40% - Accent4 6 2" xfId="820"/>
    <cellStyle name="40% - Accent4 6 2 2" xfId="1765"/>
    <cellStyle name="40% - Accent4 6 2 3" xfId="2371"/>
    <cellStyle name="40% - Accent4 6 2 4" xfId="2925"/>
    <cellStyle name="40% - Accent4 6 2 5" xfId="3437"/>
    <cellStyle name="40% - Accent4 6 2 6" xfId="3861"/>
    <cellStyle name="40% - Accent4 6 3" xfId="1377"/>
    <cellStyle name="40% - Accent4 6 4" xfId="1985"/>
    <cellStyle name="40% - Accent4 6 5" xfId="2551"/>
    <cellStyle name="40% - Accent4 6 6" xfId="3089"/>
    <cellStyle name="40% - Accent4 6 7" xfId="3580"/>
    <cellStyle name="40% - Accent4 7" xfId="462"/>
    <cellStyle name="40% - Accent4 7 2" xfId="833"/>
    <cellStyle name="40% - Accent4 7 2 2" xfId="1778"/>
    <cellStyle name="40% - Accent4 7 2 3" xfId="2384"/>
    <cellStyle name="40% - Accent4 7 2 4" xfId="2938"/>
    <cellStyle name="40% - Accent4 7 2 5" xfId="3450"/>
    <cellStyle name="40% - Accent4 7 2 6" xfId="3874"/>
    <cellStyle name="40% - Accent4 7 3" xfId="1417"/>
    <cellStyle name="40% - Accent4 7 4" xfId="2024"/>
    <cellStyle name="40% - Accent4 7 5" xfId="2588"/>
    <cellStyle name="40% - Accent4 7 6" xfId="3118"/>
    <cellStyle name="40% - Accent4 7 7" xfId="3593"/>
    <cellStyle name="40% - Accent4 8" xfId="503"/>
    <cellStyle name="40% - Accent4 8 2" xfId="846"/>
    <cellStyle name="40% - Accent4 8 2 2" xfId="1791"/>
    <cellStyle name="40% - Accent4 8 2 3" xfId="2397"/>
    <cellStyle name="40% - Accent4 8 2 4" xfId="2951"/>
    <cellStyle name="40% - Accent4 8 2 5" xfId="3463"/>
    <cellStyle name="40% - Accent4 8 2 6" xfId="3887"/>
    <cellStyle name="40% - Accent4 8 3" xfId="1454"/>
    <cellStyle name="40% - Accent4 8 4" xfId="2061"/>
    <cellStyle name="40% - Accent4 8 5" xfId="2625"/>
    <cellStyle name="40% - Accent4 8 6" xfId="3149"/>
    <cellStyle name="40% - Accent4 8 7" xfId="3606"/>
    <cellStyle name="40% - Accent4 9" xfId="544"/>
    <cellStyle name="40% - Accent4 9 2" xfId="859"/>
    <cellStyle name="40% - Accent4 9 2 2" xfId="1804"/>
    <cellStyle name="40% - Accent4 9 2 3" xfId="2410"/>
    <cellStyle name="40% - Accent4 9 2 4" xfId="2964"/>
    <cellStyle name="40% - Accent4 9 2 5" xfId="3476"/>
    <cellStyle name="40% - Accent4 9 2 6" xfId="3900"/>
    <cellStyle name="40% - Accent4 9 3" xfId="1492"/>
    <cellStyle name="40% - Accent4 9 4" xfId="2099"/>
    <cellStyle name="40% - Accent4 9 5" xfId="2659"/>
    <cellStyle name="40% - Accent4 9 6" xfId="3178"/>
    <cellStyle name="40% - Accent4 9 7" xfId="3619"/>
    <cellStyle name="40% - Accent5 10" xfId="589"/>
    <cellStyle name="40% - Accent5 10 2" xfId="874"/>
    <cellStyle name="40% - Accent5 10 2 2" xfId="1819"/>
    <cellStyle name="40% - Accent5 10 2 3" xfId="2425"/>
    <cellStyle name="40% - Accent5 10 2 4" xfId="2979"/>
    <cellStyle name="40% - Accent5 10 2 5" xfId="3491"/>
    <cellStyle name="40% - Accent5 10 2 6" xfId="3915"/>
    <cellStyle name="40% - Accent5 10 3" xfId="1534"/>
    <cellStyle name="40% - Accent5 10 4" xfId="2142"/>
    <cellStyle name="40% - Accent5 10 5" xfId="2696"/>
    <cellStyle name="40% - Accent5 10 6" xfId="3208"/>
    <cellStyle name="40% - Accent5 10 7" xfId="3634"/>
    <cellStyle name="40% - Accent5 11" xfId="913"/>
    <cellStyle name="40% - Accent5 11 2" xfId="1854"/>
    <cellStyle name="40% - Accent5 11 3" xfId="2464"/>
    <cellStyle name="40% - Accent5 11 4" xfId="3015"/>
    <cellStyle name="40% - Accent5 11 5" xfId="3522"/>
    <cellStyle name="40% - Accent5 11 6" xfId="3929"/>
    <cellStyle name="40% - Accent5 12" xfId="954"/>
    <cellStyle name="40% - Accent5 12 2" xfId="1894"/>
    <cellStyle name="40% - Accent5 12 3" xfId="2502"/>
    <cellStyle name="40% - Accent5 12 4" xfId="3048"/>
    <cellStyle name="40% - Accent5 12 5" xfId="3552"/>
    <cellStyle name="40% - Accent5 12 6" xfId="3942"/>
    <cellStyle name="40% - Accent5 13" xfId="1935"/>
    <cellStyle name="40% - Accent5 14" xfId="3981"/>
    <cellStyle name="40% - Accent5 15" xfId="4022"/>
    <cellStyle name="40% - Accent5 16" xfId="4063"/>
    <cellStyle name="40% - Accent5 17" xfId="4104"/>
    <cellStyle name="40% - Accent5 18" xfId="4145"/>
    <cellStyle name="40% - Accent5 19" xfId="4186"/>
    <cellStyle name="40% - Accent5 2" xfId="12"/>
    <cellStyle name="40% - Accent5 2 10" xfId="3132"/>
    <cellStyle name="40% - Accent5 2 2" xfId="113"/>
    <cellStyle name="40% - Accent5 2 2 2" xfId="170"/>
    <cellStyle name="40% - Accent5 2 2 2 2" xfId="259"/>
    <cellStyle name="40% - Accent5 2 2 2 2 2" xfId="765"/>
    <cellStyle name="40% - Accent5 2 2 2 2 2 2" xfId="1710"/>
    <cellStyle name="40% - Accent5 2 2 2 2 2 3" xfId="2316"/>
    <cellStyle name="40% - Accent5 2 2 2 2 2 4" xfId="2870"/>
    <cellStyle name="40% - Accent5 2 2 2 2 2 5" xfId="3382"/>
    <cellStyle name="40% - Accent5 2 2 2 2 2 6" xfId="3806"/>
    <cellStyle name="40% - Accent5 2 2 2 2 3" xfId="1222"/>
    <cellStyle name="40% - Accent5 2 2 2 2 4" xfId="1884"/>
    <cellStyle name="40% - Accent5 2 2 2 2 5" xfId="2059"/>
    <cellStyle name="40% - Accent5 2 2 2 2 6" xfId="2623"/>
    <cellStyle name="40% - Accent5 2 2 2 2 7" xfId="3147"/>
    <cellStyle name="40% - Accent5 2 2 2 3" xfId="677"/>
    <cellStyle name="40% - Accent5 2 2 2 3 2" xfId="1622"/>
    <cellStyle name="40% - Accent5 2 2 2 3 3" xfId="2228"/>
    <cellStyle name="40% - Accent5 2 2 2 3 4" xfId="2782"/>
    <cellStyle name="40% - Accent5 2 2 2 3 5" xfId="3294"/>
    <cellStyle name="40% - Accent5 2 2 2 3 6" xfId="3718"/>
    <cellStyle name="40% - Accent5 2 2 2 4" xfId="1133"/>
    <cellStyle name="40% - Accent5 2 2 2 5" xfId="1244"/>
    <cellStyle name="40% - Accent5 2 2 2 6" xfId="1840"/>
    <cellStyle name="40% - Accent5 2 2 2 7" xfId="2055"/>
    <cellStyle name="40% - Accent5 2 2 2 8" xfId="2619"/>
    <cellStyle name="40% - Accent5 2 2 3" xfId="215"/>
    <cellStyle name="40% - Accent5 2 2 3 2" xfId="721"/>
    <cellStyle name="40% - Accent5 2 2 3 2 2" xfId="1666"/>
    <cellStyle name="40% - Accent5 2 2 3 2 3" xfId="2272"/>
    <cellStyle name="40% - Accent5 2 2 3 2 4" xfId="2826"/>
    <cellStyle name="40% - Accent5 2 2 3 2 5" xfId="3338"/>
    <cellStyle name="40% - Accent5 2 2 3 2 6" xfId="3762"/>
    <cellStyle name="40% - Accent5 2 2 3 3" xfId="1178"/>
    <cellStyle name="40% - Accent5 2 2 3 4" xfId="1498"/>
    <cellStyle name="40% - Accent5 2 2 3 5" xfId="2479"/>
    <cellStyle name="40% - Accent5 2 2 3 6" xfId="3028"/>
    <cellStyle name="40% - Accent5 2 2 3 7" xfId="3533"/>
    <cellStyle name="40% - Accent5 2 2 4" xfId="633"/>
    <cellStyle name="40% - Accent5 2 2 4 2" xfId="1578"/>
    <cellStyle name="40% - Accent5 2 2 4 3" xfId="2184"/>
    <cellStyle name="40% - Accent5 2 2 4 4" xfId="2738"/>
    <cellStyle name="40% - Accent5 2 2 4 5" xfId="3250"/>
    <cellStyle name="40% - Accent5 2 2 4 6" xfId="3674"/>
    <cellStyle name="40% - Accent5 2 2 5" xfId="1089"/>
    <cellStyle name="40% - Accent5 2 2 6" xfId="1504"/>
    <cellStyle name="40% - Accent5 2 2 7" xfId="2037"/>
    <cellStyle name="40% - Accent5 2 2 8" xfId="2601"/>
    <cellStyle name="40% - Accent5 2 2 9" xfId="3128"/>
    <cellStyle name="40% - Accent5 2 3" xfId="148"/>
    <cellStyle name="40% - Accent5 2 3 2" xfId="237"/>
    <cellStyle name="40% - Accent5 2 3 2 2" xfId="743"/>
    <cellStyle name="40% - Accent5 2 3 2 2 2" xfId="1688"/>
    <cellStyle name="40% - Accent5 2 3 2 2 3" xfId="2294"/>
    <cellStyle name="40% - Accent5 2 3 2 2 4" xfId="2848"/>
    <cellStyle name="40% - Accent5 2 3 2 2 5" xfId="3360"/>
    <cellStyle name="40% - Accent5 2 3 2 2 6" xfId="3784"/>
    <cellStyle name="40% - Accent5 2 3 2 3" xfId="1200"/>
    <cellStyle name="40% - Accent5 2 3 2 4" xfId="1532"/>
    <cellStyle name="40% - Accent5 2 3 2 5" xfId="1525"/>
    <cellStyle name="40% - Accent5 2 3 2 6" xfId="2499"/>
    <cellStyle name="40% - Accent5 2 3 2 7" xfId="3045"/>
    <cellStyle name="40% - Accent5 2 3 3" xfId="655"/>
    <cellStyle name="40% - Accent5 2 3 3 2" xfId="1600"/>
    <cellStyle name="40% - Accent5 2 3 3 3" xfId="2206"/>
    <cellStyle name="40% - Accent5 2 3 3 4" xfId="2760"/>
    <cellStyle name="40% - Accent5 2 3 3 5" xfId="3272"/>
    <cellStyle name="40% - Accent5 2 3 3 6" xfId="3696"/>
    <cellStyle name="40% - Accent5 2 3 4" xfId="1111"/>
    <cellStyle name="40% - Accent5 2 3 5" xfId="1861"/>
    <cellStyle name="40% - Accent5 2 3 6" xfId="2431"/>
    <cellStyle name="40% - Accent5 2 3 7" xfId="2985"/>
    <cellStyle name="40% - Accent5 2 3 8" xfId="3496"/>
    <cellStyle name="40% - Accent5 2 4" xfId="193"/>
    <cellStyle name="40% - Accent5 2 4 2" xfId="699"/>
    <cellStyle name="40% - Accent5 2 4 2 2" xfId="1644"/>
    <cellStyle name="40% - Accent5 2 4 2 3" xfId="2250"/>
    <cellStyle name="40% - Accent5 2 4 2 4" xfId="2804"/>
    <cellStyle name="40% - Accent5 2 4 2 5" xfId="3316"/>
    <cellStyle name="40% - Accent5 2 4 2 6" xfId="3740"/>
    <cellStyle name="40% - Accent5 2 4 3" xfId="1156"/>
    <cellStyle name="40% - Accent5 2 4 4" xfId="1397"/>
    <cellStyle name="40% - Accent5 2 4 5" xfId="2082"/>
    <cellStyle name="40% - Accent5 2 4 6" xfId="2643"/>
    <cellStyle name="40% - Accent5 2 4 7" xfId="3164"/>
    <cellStyle name="40% - Accent5 2 5" xfId="611"/>
    <cellStyle name="40% - Accent5 2 5 2" xfId="1556"/>
    <cellStyle name="40% - Accent5 2 5 3" xfId="2162"/>
    <cellStyle name="40% - Accent5 2 5 4" xfId="2716"/>
    <cellStyle name="40% - Accent5 2 5 5" xfId="3228"/>
    <cellStyle name="40% - Accent5 2 5 6" xfId="3652"/>
    <cellStyle name="40% - Accent5 2 6" xfId="1063"/>
    <cellStyle name="40% - Accent5 2 7" xfId="1868"/>
    <cellStyle name="40% - Accent5 2 8" xfId="2042"/>
    <cellStyle name="40% - Accent5 2 9" xfId="2606"/>
    <cellStyle name="40% - Accent5 20" xfId="4227"/>
    <cellStyle name="40% - Accent5 21" xfId="4268"/>
    <cellStyle name="40% - Accent5 22" xfId="4309"/>
    <cellStyle name="40% - Accent5 23" xfId="4351"/>
    <cellStyle name="40% - Accent5 24" xfId="4392"/>
    <cellStyle name="40% - Accent5 25" xfId="4433"/>
    <cellStyle name="40% - Accent5 26" xfId="4474"/>
    <cellStyle name="40% - Accent5 27" xfId="4515"/>
    <cellStyle name="40% - Accent5 28" xfId="4556"/>
    <cellStyle name="40% - Accent5 29" xfId="4597"/>
    <cellStyle name="40% - Accent5 3" xfId="302"/>
    <cellStyle name="40% - Accent5 3 2" xfId="783"/>
    <cellStyle name="40% - Accent5 3 2 2" xfId="1728"/>
    <cellStyle name="40% - Accent5 3 2 3" xfId="2334"/>
    <cellStyle name="40% - Accent5 3 2 4" xfId="2888"/>
    <cellStyle name="40% - Accent5 3 2 5" xfId="3400"/>
    <cellStyle name="40% - Accent5 3 2 6" xfId="3824"/>
    <cellStyle name="40% - Accent5 3 3" xfId="1263"/>
    <cellStyle name="40% - Accent5 3 4" xfId="1382"/>
    <cellStyle name="40% - Accent5 3 5" xfId="1414"/>
    <cellStyle name="40% - Accent5 3 6" xfId="2029"/>
    <cellStyle name="40% - Accent5 3 7" xfId="2593"/>
    <cellStyle name="40% - Accent5 30" xfId="4639"/>
    <cellStyle name="40% - Accent5 31" xfId="4681"/>
    <cellStyle name="40% - Accent5 32" xfId="4722"/>
    <cellStyle name="40% - Accent5 33" xfId="4763"/>
    <cellStyle name="40% - Accent5 34" xfId="4804"/>
    <cellStyle name="40% - Accent5 35" xfId="4845"/>
    <cellStyle name="40% - Accent5 36" xfId="4886"/>
    <cellStyle name="40% - Accent5 4" xfId="343"/>
    <cellStyle name="40% - Accent5 4 2" xfId="796"/>
    <cellStyle name="40% - Accent5 4 2 2" xfId="1741"/>
    <cellStyle name="40% - Accent5 4 2 3" xfId="2347"/>
    <cellStyle name="40% - Accent5 4 2 4" xfId="2901"/>
    <cellStyle name="40% - Accent5 4 2 5" xfId="3413"/>
    <cellStyle name="40% - Accent5 4 2 6" xfId="3837"/>
    <cellStyle name="40% - Accent5 4 3" xfId="1301"/>
    <cellStyle name="40% - Accent5 4 4" xfId="1883"/>
    <cellStyle name="40% - Accent5 4 5" xfId="1277"/>
    <cellStyle name="40% - Accent5 4 6" xfId="2119"/>
    <cellStyle name="40% - Accent5 4 7" xfId="2677"/>
    <cellStyle name="40% - Accent5 5" xfId="384"/>
    <cellStyle name="40% - Accent5 5 2" xfId="809"/>
    <cellStyle name="40% - Accent5 5 2 2" xfId="1754"/>
    <cellStyle name="40% - Accent5 5 2 3" xfId="2360"/>
    <cellStyle name="40% - Accent5 5 2 4" xfId="2914"/>
    <cellStyle name="40% - Accent5 5 2 5" xfId="3426"/>
    <cellStyle name="40% - Accent5 5 2 6" xfId="3850"/>
    <cellStyle name="40% - Accent5 5 3" xfId="1341"/>
    <cellStyle name="40% - Accent5 5 4" xfId="1953"/>
    <cellStyle name="40% - Accent5 5 5" xfId="2489"/>
    <cellStyle name="40% - Accent5 5 6" xfId="3036"/>
    <cellStyle name="40% - Accent5 5 7" xfId="3541"/>
    <cellStyle name="40% - Accent5 6" xfId="425"/>
    <cellStyle name="40% - Accent5 6 2" xfId="822"/>
    <cellStyle name="40% - Accent5 6 2 2" xfId="1767"/>
    <cellStyle name="40% - Accent5 6 2 3" xfId="2373"/>
    <cellStyle name="40% - Accent5 6 2 4" xfId="2927"/>
    <cellStyle name="40% - Accent5 6 2 5" xfId="3439"/>
    <cellStyle name="40% - Accent5 6 2 6" xfId="3863"/>
    <cellStyle name="40% - Accent5 6 3" xfId="1381"/>
    <cellStyle name="40% - Accent5 6 4" xfId="1989"/>
    <cellStyle name="40% - Accent5 6 5" xfId="2555"/>
    <cellStyle name="40% - Accent5 6 6" xfId="3093"/>
    <cellStyle name="40% - Accent5 6 7" xfId="3582"/>
    <cellStyle name="40% - Accent5 7" xfId="466"/>
    <cellStyle name="40% - Accent5 7 2" xfId="835"/>
    <cellStyle name="40% - Accent5 7 2 2" xfId="1780"/>
    <cellStyle name="40% - Accent5 7 2 3" xfId="2386"/>
    <cellStyle name="40% - Accent5 7 2 4" xfId="2940"/>
    <cellStyle name="40% - Accent5 7 2 5" xfId="3452"/>
    <cellStyle name="40% - Accent5 7 2 6" xfId="3876"/>
    <cellStyle name="40% - Accent5 7 3" xfId="1421"/>
    <cellStyle name="40% - Accent5 7 4" xfId="2028"/>
    <cellStyle name="40% - Accent5 7 5" xfId="2592"/>
    <cellStyle name="40% - Accent5 7 6" xfId="3122"/>
    <cellStyle name="40% - Accent5 7 7" xfId="3595"/>
    <cellStyle name="40% - Accent5 8" xfId="507"/>
    <cellStyle name="40% - Accent5 8 2" xfId="848"/>
    <cellStyle name="40% - Accent5 8 2 2" xfId="1793"/>
    <cellStyle name="40% - Accent5 8 2 3" xfId="2399"/>
    <cellStyle name="40% - Accent5 8 2 4" xfId="2953"/>
    <cellStyle name="40% - Accent5 8 2 5" xfId="3465"/>
    <cellStyle name="40% - Accent5 8 2 6" xfId="3889"/>
    <cellStyle name="40% - Accent5 8 3" xfId="1458"/>
    <cellStyle name="40% - Accent5 8 4" xfId="2065"/>
    <cellStyle name="40% - Accent5 8 5" xfId="2629"/>
    <cellStyle name="40% - Accent5 8 6" xfId="3152"/>
    <cellStyle name="40% - Accent5 8 7" xfId="3608"/>
    <cellStyle name="40% - Accent5 9" xfId="548"/>
    <cellStyle name="40% - Accent5 9 2" xfId="861"/>
    <cellStyle name="40% - Accent5 9 2 2" xfId="1806"/>
    <cellStyle name="40% - Accent5 9 2 3" xfId="2412"/>
    <cellStyle name="40% - Accent5 9 2 4" xfId="2966"/>
    <cellStyle name="40% - Accent5 9 2 5" xfId="3478"/>
    <cellStyle name="40% - Accent5 9 2 6" xfId="3902"/>
    <cellStyle name="40% - Accent5 9 3" xfId="1496"/>
    <cellStyle name="40% - Accent5 9 4" xfId="2103"/>
    <cellStyle name="40% - Accent5 9 5" xfId="2662"/>
    <cellStyle name="40% - Accent5 9 6" xfId="3181"/>
    <cellStyle name="40% - Accent5 9 7" xfId="3621"/>
    <cellStyle name="40% - Accent6 10" xfId="593"/>
    <cellStyle name="40% - Accent6 10 2" xfId="876"/>
    <cellStyle name="40% - Accent6 10 2 2" xfId="1821"/>
    <cellStyle name="40% - Accent6 10 2 3" xfId="2427"/>
    <cellStyle name="40% - Accent6 10 2 4" xfId="2981"/>
    <cellStyle name="40% - Accent6 10 2 5" xfId="3493"/>
    <cellStyle name="40% - Accent6 10 2 6" xfId="3917"/>
    <cellStyle name="40% - Accent6 10 3" xfId="1538"/>
    <cellStyle name="40% - Accent6 10 4" xfId="2146"/>
    <cellStyle name="40% - Accent6 10 5" xfId="2700"/>
    <cellStyle name="40% - Accent6 10 6" xfId="3212"/>
    <cellStyle name="40% - Accent6 10 7" xfId="3636"/>
    <cellStyle name="40% - Accent6 11" xfId="917"/>
    <cellStyle name="40% - Accent6 11 2" xfId="1858"/>
    <cellStyle name="40% - Accent6 11 3" xfId="2467"/>
    <cellStyle name="40% - Accent6 11 4" xfId="3018"/>
    <cellStyle name="40% - Accent6 11 5" xfId="3525"/>
    <cellStyle name="40% - Accent6 11 6" xfId="3931"/>
    <cellStyle name="40% - Accent6 12" xfId="958"/>
    <cellStyle name="40% - Accent6 12 2" xfId="1898"/>
    <cellStyle name="40% - Accent6 12 3" xfId="2506"/>
    <cellStyle name="40% - Accent6 12 4" xfId="3052"/>
    <cellStyle name="40% - Accent6 12 5" xfId="3555"/>
    <cellStyle name="40% - Accent6 12 6" xfId="3944"/>
    <cellStyle name="40% - Accent6 13" xfId="1939"/>
    <cellStyle name="40% - Accent6 14" xfId="3985"/>
    <cellStyle name="40% - Accent6 15" xfId="4026"/>
    <cellStyle name="40% - Accent6 16" xfId="4067"/>
    <cellStyle name="40% - Accent6 17" xfId="4108"/>
    <cellStyle name="40% - Accent6 18" xfId="4149"/>
    <cellStyle name="40% - Accent6 19" xfId="4190"/>
    <cellStyle name="40% - Accent6 2" xfId="13"/>
    <cellStyle name="40% - Accent6 2 10" xfId="2446"/>
    <cellStyle name="40% - Accent6 2 2" xfId="117"/>
    <cellStyle name="40% - Accent6 2 2 2" xfId="172"/>
    <cellStyle name="40% - Accent6 2 2 2 2" xfId="261"/>
    <cellStyle name="40% - Accent6 2 2 2 2 2" xfId="767"/>
    <cellStyle name="40% - Accent6 2 2 2 2 2 2" xfId="1712"/>
    <cellStyle name="40% - Accent6 2 2 2 2 2 3" xfId="2318"/>
    <cellStyle name="40% - Accent6 2 2 2 2 2 4" xfId="2872"/>
    <cellStyle name="40% - Accent6 2 2 2 2 2 5" xfId="3384"/>
    <cellStyle name="40% - Accent6 2 2 2 2 2 6" xfId="3808"/>
    <cellStyle name="40% - Accent6 2 2 2 2 3" xfId="1224"/>
    <cellStyle name="40% - Accent6 2 2 2 2 4" xfId="1526"/>
    <cellStyle name="40% - Accent6 2 2 2 2 5" xfId="1983"/>
    <cellStyle name="40% - Accent6 2 2 2 2 6" xfId="2549"/>
    <cellStyle name="40% - Accent6 2 2 2 2 7" xfId="3087"/>
    <cellStyle name="40% - Accent6 2 2 2 3" xfId="679"/>
    <cellStyle name="40% - Accent6 2 2 2 3 2" xfId="1624"/>
    <cellStyle name="40% - Accent6 2 2 2 3 3" xfId="2230"/>
    <cellStyle name="40% - Accent6 2 2 2 3 4" xfId="2784"/>
    <cellStyle name="40% - Accent6 2 2 2 3 5" xfId="3296"/>
    <cellStyle name="40% - Accent6 2 2 2 3 6" xfId="3720"/>
    <cellStyle name="40% - Accent6 2 2 2 4" xfId="1135"/>
    <cellStyle name="40% - Accent6 2 2 2 5" xfId="1874"/>
    <cellStyle name="40% - Accent6 2 2 2 6" xfId="2513"/>
    <cellStyle name="40% - Accent6 2 2 2 7" xfId="3059"/>
    <cellStyle name="40% - Accent6 2 2 2 8" xfId="3560"/>
    <cellStyle name="40% - Accent6 2 2 3" xfId="217"/>
    <cellStyle name="40% - Accent6 2 2 3 2" xfId="723"/>
    <cellStyle name="40% - Accent6 2 2 3 2 2" xfId="1668"/>
    <cellStyle name="40% - Accent6 2 2 3 2 3" xfId="2274"/>
    <cellStyle name="40% - Accent6 2 2 3 2 4" xfId="2828"/>
    <cellStyle name="40% - Accent6 2 2 3 2 5" xfId="3340"/>
    <cellStyle name="40% - Accent6 2 2 3 2 6" xfId="3764"/>
    <cellStyle name="40% - Accent6 2 2 3 3" xfId="1180"/>
    <cellStyle name="40% - Accent6 2 2 3 4" xfId="1423"/>
    <cellStyle name="40% - Accent6 2 2 3 5" xfId="2118"/>
    <cellStyle name="40% - Accent6 2 2 3 6" xfId="2676"/>
    <cellStyle name="40% - Accent6 2 2 3 7" xfId="3193"/>
    <cellStyle name="40% - Accent6 2 2 4" xfId="635"/>
    <cellStyle name="40% - Accent6 2 2 4 2" xfId="1580"/>
    <cellStyle name="40% - Accent6 2 2 4 3" xfId="2186"/>
    <cellStyle name="40% - Accent6 2 2 4 4" xfId="2740"/>
    <cellStyle name="40% - Accent6 2 2 4 5" xfId="3252"/>
    <cellStyle name="40% - Accent6 2 2 4 6" xfId="3676"/>
    <cellStyle name="40% - Accent6 2 2 5" xfId="1091"/>
    <cellStyle name="40% - Accent6 2 2 6" xfId="1466"/>
    <cellStyle name="40% - Accent6 2 2 7" xfId="1962"/>
    <cellStyle name="40% - Accent6 2 2 8" xfId="1514"/>
    <cellStyle name="40% - Accent6 2 2 9" xfId="2442"/>
    <cellStyle name="40% - Accent6 2 3" xfId="150"/>
    <cellStyle name="40% - Accent6 2 3 2" xfId="239"/>
    <cellStyle name="40% - Accent6 2 3 2 2" xfId="745"/>
    <cellStyle name="40% - Accent6 2 3 2 2 2" xfId="1690"/>
    <cellStyle name="40% - Accent6 2 3 2 2 3" xfId="2296"/>
    <cellStyle name="40% - Accent6 2 3 2 2 4" xfId="2850"/>
    <cellStyle name="40% - Accent6 2 3 2 2 5" xfId="3362"/>
    <cellStyle name="40% - Accent6 2 3 2 2 6" xfId="3786"/>
    <cellStyle name="40% - Accent6 2 3 2 3" xfId="1202"/>
    <cellStyle name="40% - Accent6 2 3 2 4" xfId="1490"/>
    <cellStyle name="40% - Accent6 2 3 2 5" xfId="1509"/>
    <cellStyle name="40% - Accent6 2 3 2 6" xfId="1967"/>
    <cellStyle name="40% - Accent6 2 3 2 7" xfId="2523"/>
    <cellStyle name="40% - Accent6 2 3 3" xfId="657"/>
    <cellStyle name="40% - Accent6 2 3 3 2" xfId="1602"/>
    <cellStyle name="40% - Accent6 2 3 3 3" xfId="2208"/>
    <cellStyle name="40% - Accent6 2 3 3 4" xfId="2762"/>
    <cellStyle name="40% - Accent6 2 3 3 5" xfId="3274"/>
    <cellStyle name="40% - Accent6 2 3 3 6" xfId="3698"/>
    <cellStyle name="40% - Accent6 2 3 4" xfId="1113"/>
    <cellStyle name="40% - Accent6 2 3 5" xfId="1502"/>
    <cellStyle name="40% - Accent6 2 3 6" xfId="1501"/>
    <cellStyle name="40% - Accent6 2 3 7" xfId="2508"/>
    <cellStyle name="40% - Accent6 2 3 8" xfId="3054"/>
    <cellStyle name="40% - Accent6 2 4" xfId="195"/>
    <cellStyle name="40% - Accent6 2 4 2" xfId="701"/>
    <cellStyle name="40% - Accent6 2 4 2 2" xfId="1646"/>
    <cellStyle name="40% - Accent6 2 4 2 3" xfId="2252"/>
    <cellStyle name="40% - Accent6 2 4 2 4" xfId="2806"/>
    <cellStyle name="40% - Accent6 2 4 2 5" xfId="3318"/>
    <cellStyle name="40% - Accent6 2 4 2 6" xfId="3742"/>
    <cellStyle name="40% - Accent6 2 4 3" xfId="1158"/>
    <cellStyle name="40% - Accent6 2 4 4" xfId="1317"/>
    <cellStyle name="40% - Accent6 2 4 5" xfId="2005"/>
    <cellStyle name="40% - Accent6 2 4 6" xfId="2571"/>
    <cellStyle name="40% - Accent6 2 4 7" xfId="3106"/>
    <cellStyle name="40% - Accent6 2 5" xfId="613"/>
    <cellStyle name="40% - Accent6 2 5 2" xfId="1558"/>
    <cellStyle name="40% - Accent6 2 5 3" xfId="2164"/>
    <cellStyle name="40% - Accent6 2 5 4" xfId="2718"/>
    <cellStyle name="40% - Accent6 2 5 5" xfId="3230"/>
    <cellStyle name="40% - Accent6 2 5 6" xfId="3654"/>
    <cellStyle name="40% - Accent6 2 6" xfId="1067"/>
    <cellStyle name="40% - Accent6 2 7" xfId="1468"/>
    <cellStyle name="40% - Accent6 2 8" xfId="1298"/>
    <cellStyle name="40% - Accent6 2 9" xfId="1895"/>
    <cellStyle name="40% - Accent6 20" xfId="4231"/>
    <cellStyle name="40% - Accent6 21" xfId="4272"/>
    <cellStyle name="40% - Accent6 22" xfId="4313"/>
    <cellStyle name="40% - Accent6 23" xfId="4355"/>
    <cellStyle name="40% - Accent6 24" xfId="4396"/>
    <cellStyle name="40% - Accent6 25" xfId="4437"/>
    <cellStyle name="40% - Accent6 26" xfId="4478"/>
    <cellStyle name="40% - Accent6 27" xfId="4519"/>
    <cellStyle name="40% - Accent6 28" xfId="4560"/>
    <cellStyle name="40% - Accent6 29" xfId="4601"/>
    <cellStyle name="40% - Accent6 3" xfId="306"/>
    <cellStyle name="40% - Accent6 3 2" xfId="785"/>
    <cellStyle name="40% - Accent6 3 2 2" xfId="1730"/>
    <cellStyle name="40% - Accent6 3 2 3" xfId="2336"/>
    <cellStyle name="40% - Accent6 3 2 4" xfId="2890"/>
    <cellStyle name="40% - Accent6 3 2 5" xfId="3402"/>
    <cellStyle name="40% - Accent6 3 2 6" xfId="3826"/>
    <cellStyle name="40% - Accent6 3 3" xfId="1267"/>
    <cellStyle name="40% - Accent6 3 4" xfId="1064"/>
    <cellStyle name="40% - Accent6 3 5" xfId="2486"/>
    <cellStyle name="40% - Accent6 3 6" xfId="3033"/>
    <cellStyle name="40% - Accent6 3 7" xfId="3538"/>
    <cellStyle name="40% - Accent6 30" xfId="4643"/>
    <cellStyle name="40% - Accent6 31" xfId="4685"/>
    <cellStyle name="40% - Accent6 32" xfId="4726"/>
    <cellStyle name="40% - Accent6 33" xfId="4767"/>
    <cellStyle name="40% - Accent6 34" xfId="4808"/>
    <cellStyle name="40% - Accent6 35" xfId="4849"/>
    <cellStyle name="40% - Accent6 36" xfId="4890"/>
    <cellStyle name="40% - Accent6 4" xfId="347"/>
    <cellStyle name="40% - Accent6 4 2" xfId="798"/>
    <cellStyle name="40% - Accent6 4 2 2" xfId="1743"/>
    <cellStyle name="40% - Accent6 4 2 3" xfId="2349"/>
    <cellStyle name="40% - Accent6 4 2 4" xfId="2903"/>
    <cellStyle name="40% - Accent6 4 2 5" xfId="3415"/>
    <cellStyle name="40% - Accent6 4 2 6" xfId="3839"/>
    <cellStyle name="40% - Accent6 4 3" xfId="1305"/>
    <cellStyle name="40% - Accent6 4 4" xfId="1481"/>
    <cellStyle name="40% - Accent6 4 5" xfId="2139"/>
    <cellStyle name="40% - Accent6 4 6" xfId="2693"/>
    <cellStyle name="40% - Accent6 4 7" xfId="3205"/>
    <cellStyle name="40% - Accent6 5" xfId="388"/>
    <cellStyle name="40% - Accent6 5 2" xfId="811"/>
    <cellStyle name="40% - Accent6 5 2 2" xfId="1756"/>
    <cellStyle name="40% - Accent6 5 2 3" xfId="2362"/>
    <cellStyle name="40% - Accent6 5 2 4" xfId="2916"/>
    <cellStyle name="40% - Accent6 5 2 5" xfId="3428"/>
    <cellStyle name="40% - Accent6 5 2 6" xfId="3852"/>
    <cellStyle name="40% - Accent6 5 3" xfId="1345"/>
    <cellStyle name="40% - Accent6 5 4" xfId="1957"/>
    <cellStyle name="40% - Accent6 5 5" xfId="2542"/>
    <cellStyle name="40% - Accent6 5 6" xfId="3081"/>
    <cellStyle name="40% - Accent6 5 7" xfId="3574"/>
    <cellStyle name="40% - Accent6 6" xfId="429"/>
    <cellStyle name="40% - Accent6 6 2" xfId="824"/>
    <cellStyle name="40% - Accent6 6 2 2" xfId="1769"/>
    <cellStyle name="40% - Accent6 6 2 3" xfId="2375"/>
    <cellStyle name="40% - Accent6 6 2 4" xfId="2929"/>
    <cellStyle name="40% - Accent6 6 2 5" xfId="3441"/>
    <cellStyle name="40% - Accent6 6 2 6" xfId="3865"/>
    <cellStyle name="40% - Accent6 6 3" xfId="1385"/>
    <cellStyle name="40% - Accent6 6 4" xfId="1993"/>
    <cellStyle name="40% - Accent6 6 5" xfId="2559"/>
    <cellStyle name="40% - Accent6 6 6" xfId="3097"/>
    <cellStyle name="40% - Accent6 6 7" xfId="3584"/>
    <cellStyle name="40% - Accent6 7" xfId="470"/>
    <cellStyle name="40% - Accent6 7 2" xfId="837"/>
    <cellStyle name="40% - Accent6 7 2 2" xfId="1782"/>
    <cellStyle name="40% - Accent6 7 2 3" xfId="2388"/>
    <cellStyle name="40% - Accent6 7 2 4" xfId="2942"/>
    <cellStyle name="40% - Accent6 7 2 5" xfId="3454"/>
    <cellStyle name="40% - Accent6 7 2 6" xfId="3878"/>
    <cellStyle name="40% - Accent6 7 3" xfId="1425"/>
    <cellStyle name="40% - Accent6 7 4" xfId="2032"/>
    <cellStyle name="40% - Accent6 7 5" xfId="2596"/>
    <cellStyle name="40% - Accent6 7 6" xfId="3125"/>
    <cellStyle name="40% - Accent6 7 7" xfId="3597"/>
    <cellStyle name="40% - Accent6 8" xfId="511"/>
    <cellStyle name="40% - Accent6 8 2" xfId="850"/>
    <cellStyle name="40% - Accent6 8 2 2" xfId="1795"/>
    <cellStyle name="40% - Accent6 8 2 3" xfId="2401"/>
    <cellStyle name="40% - Accent6 8 2 4" xfId="2955"/>
    <cellStyle name="40% - Accent6 8 2 5" xfId="3467"/>
    <cellStyle name="40% - Accent6 8 2 6" xfId="3891"/>
    <cellStyle name="40% - Accent6 8 3" xfId="1462"/>
    <cellStyle name="40% - Accent6 8 4" xfId="2069"/>
    <cellStyle name="40% - Accent6 8 5" xfId="2632"/>
    <cellStyle name="40% - Accent6 8 6" xfId="3155"/>
    <cellStyle name="40% - Accent6 8 7" xfId="3610"/>
    <cellStyle name="40% - Accent6 9" xfId="552"/>
    <cellStyle name="40% - Accent6 9 2" xfId="863"/>
    <cellStyle name="40% - Accent6 9 2 2" xfId="1808"/>
    <cellStyle name="40% - Accent6 9 2 3" xfId="2414"/>
    <cellStyle name="40% - Accent6 9 2 4" xfId="2968"/>
    <cellStyle name="40% - Accent6 9 2 5" xfId="3480"/>
    <cellStyle name="40% - Accent6 9 2 6" xfId="3904"/>
    <cellStyle name="40% - Accent6 9 3" xfId="1500"/>
    <cellStyle name="40% - Accent6 9 4" xfId="2107"/>
    <cellStyle name="40% - Accent6 9 5" xfId="2666"/>
    <cellStyle name="40% - Accent6 9 6" xfId="3184"/>
    <cellStyle name="40% - Accent6 9 7" xfId="3623"/>
    <cellStyle name="60% - Accent1 10" xfId="574"/>
    <cellStyle name="60% - Accent1 11" xfId="898"/>
    <cellStyle name="60% - Accent1 12" xfId="939"/>
    <cellStyle name="60% - Accent1 13" xfId="1920"/>
    <cellStyle name="60% - Accent1 14" xfId="3966"/>
    <cellStyle name="60% - Accent1 15" xfId="4007"/>
    <cellStyle name="60% - Accent1 16" xfId="4048"/>
    <cellStyle name="60% - Accent1 17" xfId="4089"/>
    <cellStyle name="60% - Accent1 18" xfId="4130"/>
    <cellStyle name="60% - Accent1 19" xfId="4171"/>
    <cellStyle name="60% - Accent1 2" xfId="14"/>
    <cellStyle name="60% - Accent1 2 2" xfId="98"/>
    <cellStyle name="60% - Accent1 20" xfId="4212"/>
    <cellStyle name="60% - Accent1 21" xfId="4253"/>
    <cellStyle name="60% - Accent1 22" xfId="4294"/>
    <cellStyle name="60% - Accent1 23" xfId="4336"/>
    <cellStyle name="60% - Accent1 24" xfId="4377"/>
    <cellStyle name="60% - Accent1 25" xfId="4418"/>
    <cellStyle name="60% - Accent1 26" xfId="4459"/>
    <cellStyle name="60% - Accent1 27" xfId="4500"/>
    <cellStyle name="60% - Accent1 28" xfId="4541"/>
    <cellStyle name="60% - Accent1 29" xfId="4582"/>
    <cellStyle name="60% - Accent1 3" xfId="287"/>
    <cellStyle name="60% - Accent1 30" xfId="4624"/>
    <cellStyle name="60% - Accent1 31" xfId="4666"/>
    <cellStyle name="60% - Accent1 32" xfId="4707"/>
    <cellStyle name="60% - Accent1 33" xfId="4748"/>
    <cellStyle name="60% - Accent1 34" xfId="4789"/>
    <cellStyle name="60% - Accent1 35" xfId="4830"/>
    <cellStyle name="60% - Accent1 36" xfId="4871"/>
    <cellStyle name="60% - Accent1 4" xfId="328"/>
    <cellStyle name="60% - Accent1 5" xfId="369"/>
    <cellStyle name="60% - Accent1 6" xfId="410"/>
    <cellStyle name="60% - Accent1 7" xfId="451"/>
    <cellStyle name="60% - Accent1 8" xfId="492"/>
    <cellStyle name="60% - Accent1 9" xfId="533"/>
    <cellStyle name="60% - Accent2 10" xfId="578"/>
    <cellStyle name="60% - Accent2 11" xfId="902"/>
    <cellStyle name="60% - Accent2 12" xfId="943"/>
    <cellStyle name="60% - Accent2 13" xfId="1924"/>
    <cellStyle name="60% - Accent2 14" xfId="3970"/>
    <cellStyle name="60% - Accent2 15" xfId="4011"/>
    <cellStyle name="60% - Accent2 16" xfId="4052"/>
    <cellStyle name="60% - Accent2 17" xfId="4093"/>
    <cellStyle name="60% - Accent2 18" xfId="4134"/>
    <cellStyle name="60% - Accent2 19" xfId="4175"/>
    <cellStyle name="60% - Accent2 2" xfId="15"/>
    <cellStyle name="60% - Accent2 2 2" xfId="102"/>
    <cellStyle name="60% - Accent2 20" xfId="4216"/>
    <cellStyle name="60% - Accent2 21" xfId="4257"/>
    <cellStyle name="60% - Accent2 22" xfId="4298"/>
    <cellStyle name="60% - Accent2 23" xfId="4340"/>
    <cellStyle name="60% - Accent2 24" xfId="4381"/>
    <cellStyle name="60% - Accent2 25" xfId="4422"/>
    <cellStyle name="60% - Accent2 26" xfId="4463"/>
    <cellStyle name="60% - Accent2 27" xfId="4504"/>
    <cellStyle name="60% - Accent2 28" xfId="4545"/>
    <cellStyle name="60% - Accent2 29" xfId="4586"/>
    <cellStyle name="60% - Accent2 3" xfId="291"/>
    <cellStyle name="60% - Accent2 30" xfId="4628"/>
    <cellStyle name="60% - Accent2 31" xfId="4670"/>
    <cellStyle name="60% - Accent2 32" xfId="4711"/>
    <cellStyle name="60% - Accent2 33" xfId="4752"/>
    <cellStyle name="60% - Accent2 34" xfId="4793"/>
    <cellStyle name="60% - Accent2 35" xfId="4834"/>
    <cellStyle name="60% - Accent2 36" xfId="4875"/>
    <cellStyle name="60% - Accent2 4" xfId="332"/>
    <cellStyle name="60% - Accent2 5" xfId="373"/>
    <cellStyle name="60% - Accent2 6" xfId="414"/>
    <cellStyle name="60% - Accent2 7" xfId="455"/>
    <cellStyle name="60% - Accent2 8" xfId="496"/>
    <cellStyle name="60% - Accent2 9" xfId="537"/>
    <cellStyle name="60% - Accent3 10" xfId="582"/>
    <cellStyle name="60% - Accent3 11" xfId="906"/>
    <cellStyle name="60% - Accent3 12" xfId="947"/>
    <cellStyle name="60% - Accent3 13" xfId="1928"/>
    <cellStyle name="60% - Accent3 14" xfId="3974"/>
    <cellStyle name="60% - Accent3 15" xfId="4015"/>
    <cellStyle name="60% - Accent3 16" xfId="4056"/>
    <cellStyle name="60% - Accent3 17" xfId="4097"/>
    <cellStyle name="60% - Accent3 18" xfId="4138"/>
    <cellStyle name="60% - Accent3 19" xfId="4179"/>
    <cellStyle name="60% - Accent3 2" xfId="16"/>
    <cellStyle name="60% - Accent3 2 2" xfId="106"/>
    <cellStyle name="60% - Accent3 20" xfId="4220"/>
    <cellStyle name="60% - Accent3 21" xfId="4261"/>
    <cellStyle name="60% - Accent3 22" xfId="4302"/>
    <cellStyle name="60% - Accent3 23" xfId="4344"/>
    <cellStyle name="60% - Accent3 24" xfId="4385"/>
    <cellStyle name="60% - Accent3 25" xfId="4426"/>
    <cellStyle name="60% - Accent3 26" xfId="4467"/>
    <cellStyle name="60% - Accent3 27" xfId="4508"/>
    <cellStyle name="60% - Accent3 28" xfId="4549"/>
    <cellStyle name="60% - Accent3 29" xfId="4590"/>
    <cellStyle name="60% - Accent3 3" xfId="295"/>
    <cellStyle name="60% - Accent3 30" xfId="4632"/>
    <cellStyle name="60% - Accent3 31" xfId="4674"/>
    <cellStyle name="60% - Accent3 32" xfId="4715"/>
    <cellStyle name="60% - Accent3 33" xfId="4756"/>
    <cellStyle name="60% - Accent3 34" xfId="4797"/>
    <cellStyle name="60% - Accent3 35" xfId="4838"/>
    <cellStyle name="60% - Accent3 36" xfId="4879"/>
    <cellStyle name="60% - Accent3 4" xfId="336"/>
    <cellStyle name="60% - Accent3 5" xfId="377"/>
    <cellStyle name="60% - Accent3 6" xfId="418"/>
    <cellStyle name="60% - Accent3 7" xfId="459"/>
    <cellStyle name="60% - Accent3 8" xfId="500"/>
    <cellStyle name="60% - Accent3 9" xfId="541"/>
    <cellStyle name="60% - Accent4 10" xfId="586"/>
    <cellStyle name="60% - Accent4 11" xfId="910"/>
    <cellStyle name="60% - Accent4 12" xfId="951"/>
    <cellStyle name="60% - Accent4 13" xfId="1932"/>
    <cellStyle name="60% - Accent4 14" xfId="3978"/>
    <cellStyle name="60% - Accent4 15" xfId="4019"/>
    <cellStyle name="60% - Accent4 16" xfId="4060"/>
    <cellStyle name="60% - Accent4 17" xfId="4101"/>
    <cellStyle name="60% - Accent4 18" xfId="4142"/>
    <cellStyle name="60% - Accent4 19" xfId="4183"/>
    <cellStyle name="60% - Accent4 2" xfId="17"/>
    <cellStyle name="60% - Accent4 2 2" xfId="110"/>
    <cellStyle name="60% - Accent4 20" xfId="4224"/>
    <cellStyle name="60% - Accent4 21" xfId="4265"/>
    <cellStyle name="60% - Accent4 22" xfId="4306"/>
    <cellStyle name="60% - Accent4 23" xfId="4348"/>
    <cellStyle name="60% - Accent4 24" xfId="4389"/>
    <cellStyle name="60% - Accent4 25" xfId="4430"/>
    <cellStyle name="60% - Accent4 26" xfId="4471"/>
    <cellStyle name="60% - Accent4 27" xfId="4512"/>
    <cellStyle name="60% - Accent4 28" xfId="4553"/>
    <cellStyle name="60% - Accent4 29" xfId="4594"/>
    <cellStyle name="60% - Accent4 3" xfId="299"/>
    <cellStyle name="60% - Accent4 30" xfId="4636"/>
    <cellStyle name="60% - Accent4 31" xfId="4678"/>
    <cellStyle name="60% - Accent4 32" xfId="4719"/>
    <cellStyle name="60% - Accent4 33" xfId="4760"/>
    <cellStyle name="60% - Accent4 34" xfId="4801"/>
    <cellStyle name="60% - Accent4 35" xfId="4842"/>
    <cellStyle name="60% - Accent4 36" xfId="4883"/>
    <cellStyle name="60% - Accent4 4" xfId="340"/>
    <cellStyle name="60% - Accent4 5" xfId="381"/>
    <cellStyle name="60% - Accent4 6" xfId="422"/>
    <cellStyle name="60% - Accent4 7" xfId="463"/>
    <cellStyle name="60% - Accent4 8" xfId="504"/>
    <cellStyle name="60% - Accent4 9" xfId="545"/>
    <cellStyle name="60% - Accent5 10" xfId="590"/>
    <cellStyle name="60% - Accent5 11" xfId="914"/>
    <cellStyle name="60% - Accent5 12" xfId="955"/>
    <cellStyle name="60% - Accent5 13" xfId="1936"/>
    <cellStyle name="60% - Accent5 14" xfId="3982"/>
    <cellStyle name="60% - Accent5 15" xfId="4023"/>
    <cellStyle name="60% - Accent5 16" xfId="4064"/>
    <cellStyle name="60% - Accent5 17" xfId="4105"/>
    <cellStyle name="60% - Accent5 18" xfId="4146"/>
    <cellStyle name="60% - Accent5 19" xfId="4187"/>
    <cellStyle name="60% - Accent5 2" xfId="18"/>
    <cellStyle name="60% - Accent5 2 2" xfId="114"/>
    <cellStyle name="60% - Accent5 20" xfId="4228"/>
    <cellStyle name="60% - Accent5 21" xfId="4269"/>
    <cellStyle name="60% - Accent5 22" xfId="4310"/>
    <cellStyle name="60% - Accent5 23" xfId="4352"/>
    <cellStyle name="60% - Accent5 24" xfId="4393"/>
    <cellStyle name="60% - Accent5 25" xfId="4434"/>
    <cellStyle name="60% - Accent5 26" xfId="4475"/>
    <cellStyle name="60% - Accent5 27" xfId="4516"/>
    <cellStyle name="60% - Accent5 28" xfId="4557"/>
    <cellStyle name="60% - Accent5 29" xfId="4598"/>
    <cellStyle name="60% - Accent5 3" xfId="303"/>
    <cellStyle name="60% - Accent5 30" xfId="4640"/>
    <cellStyle name="60% - Accent5 31" xfId="4682"/>
    <cellStyle name="60% - Accent5 32" xfId="4723"/>
    <cellStyle name="60% - Accent5 33" xfId="4764"/>
    <cellStyle name="60% - Accent5 34" xfId="4805"/>
    <cellStyle name="60% - Accent5 35" xfId="4846"/>
    <cellStyle name="60% - Accent5 36" xfId="4887"/>
    <cellStyle name="60% - Accent5 4" xfId="344"/>
    <cellStyle name="60% - Accent5 5" xfId="385"/>
    <cellStyle name="60% - Accent5 6" xfId="426"/>
    <cellStyle name="60% - Accent5 7" xfId="467"/>
    <cellStyle name="60% - Accent5 8" xfId="508"/>
    <cellStyle name="60% - Accent5 9" xfId="549"/>
    <cellStyle name="60% - Accent6 10" xfId="594"/>
    <cellStyle name="60% - Accent6 11" xfId="918"/>
    <cellStyle name="60% - Accent6 12" xfId="959"/>
    <cellStyle name="60% - Accent6 13" xfId="1940"/>
    <cellStyle name="60% - Accent6 14" xfId="3986"/>
    <cellStyle name="60% - Accent6 15" xfId="4027"/>
    <cellStyle name="60% - Accent6 16" xfId="4068"/>
    <cellStyle name="60% - Accent6 17" xfId="4109"/>
    <cellStyle name="60% - Accent6 18" xfId="4150"/>
    <cellStyle name="60% - Accent6 19" xfId="4191"/>
    <cellStyle name="60% - Accent6 2" xfId="19"/>
    <cellStyle name="60% - Accent6 2 2" xfId="118"/>
    <cellStyle name="60% - Accent6 20" xfId="4232"/>
    <cellStyle name="60% - Accent6 21" xfId="4273"/>
    <cellStyle name="60% - Accent6 22" xfId="4314"/>
    <cellStyle name="60% - Accent6 23" xfId="4356"/>
    <cellStyle name="60% - Accent6 24" xfId="4397"/>
    <cellStyle name="60% - Accent6 25" xfId="4438"/>
    <cellStyle name="60% - Accent6 26" xfId="4479"/>
    <cellStyle name="60% - Accent6 27" xfId="4520"/>
    <cellStyle name="60% - Accent6 28" xfId="4561"/>
    <cellStyle name="60% - Accent6 29" xfId="4602"/>
    <cellStyle name="60% - Accent6 3" xfId="307"/>
    <cellStyle name="60% - Accent6 30" xfId="4644"/>
    <cellStyle name="60% - Accent6 31" xfId="4686"/>
    <cellStyle name="60% - Accent6 32" xfId="4727"/>
    <cellStyle name="60% - Accent6 33" xfId="4768"/>
    <cellStyle name="60% - Accent6 34" xfId="4809"/>
    <cellStyle name="60% - Accent6 35" xfId="4850"/>
    <cellStyle name="60% - Accent6 36" xfId="4891"/>
    <cellStyle name="60% - Accent6 4" xfId="348"/>
    <cellStyle name="60% - Accent6 5" xfId="389"/>
    <cellStyle name="60% - Accent6 6" xfId="430"/>
    <cellStyle name="60% - Accent6 7" xfId="471"/>
    <cellStyle name="60% - Accent6 8" xfId="512"/>
    <cellStyle name="60% - Accent6 9" xfId="553"/>
    <cellStyle name="Accent1 10" xfId="571"/>
    <cellStyle name="Accent1 11" xfId="895"/>
    <cellStyle name="Accent1 12" xfId="936"/>
    <cellStyle name="Accent1 13" xfId="1917"/>
    <cellStyle name="Accent1 14" xfId="3963"/>
    <cellStyle name="Accent1 15" xfId="4004"/>
    <cellStyle name="Accent1 16" xfId="4045"/>
    <cellStyle name="Accent1 17" xfId="4086"/>
    <cellStyle name="Accent1 18" xfId="4127"/>
    <cellStyle name="Accent1 19" xfId="4168"/>
    <cellStyle name="Accent1 2" xfId="20"/>
    <cellStyle name="Accent1 2 2" xfId="95"/>
    <cellStyle name="Accent1 20" xfId="4209"/>
    <cellStyle name="Accent1 21" xfId="4250"/>
    <cellStyle name="Accent1 22" xfId="4291"/>
    <cellStyle name="Accent1 23" xfId="4333"/>
    <cellStyle name="Accent1 24" xfId="4374"/>
    <cellStyle name="Accent1 25" xfId="4415"/>
    <cellStyle name="Accent1 26" xfId="4456"/>
    <cellStyle name="Accent1 27" xfId="4497"/>
    <cellStyle name="Accent1 28" xfId="4538"/>
    <cellStyle name="Accent1 29" xfId="4579"/>
    <cellStyle name="Accent1 3" xfId="284"/>
    <cellStyle name="Accent1 30" xfId="4621"/>
    <cellStyle name="Accent1 31" xfId="4663"/>
    <cellStyle name="Accent1 32" xfId="4704"/>
    <cellStyle name="Accent1 33" xfId="4745"/>
    <cellStyle name="Accent1 34" xfId="4786"/>
    <cellStyle name="Accent1 35" xfId="4827"/>
    <cellStyle name="Accent1 36" xfId="4868"/>
    <cellStyle name="Accent1 4" xfId="325"/>
    <cellStyle name="Accent1 5" xfId="366"/>
    <cellStyle name="Accent1 6" xfId="407"/>
    <cellStyle name="Accent1 7" xfId="448"/>
    <cellStyle name="Accent1 8" xfId="489"/>
    <cellStyle name="Accent1 9" xfId="530"/>
    <cellStyle name="Accent2 10" xfId="575"/>
    <cellStyle name="Accent2 11" xfId="899"/>
    <cellStyle name="Accent2 12" xfId="940"/>
    <cellStyle name="Accent2 13" xfId="1921"/>
    <cellStyle name="Accent2 14" xfId="3967"/>
    <cellStyle name="Accent2 15" xfId="4008"/>
    <cellStyle name="Accent2 16" xfId="4049"/>
    <cellStyle name="Accent2 17" xfId="4090"/>
    <cellStyle name="Accent2 18" xfId="4131"/>
    <cellStyle name="Accent2 19" xfId="4172"/>
    <cellStyle name="Accent2 2" xfId="21"/>
    <cellStyle name="Accent2 2 2" xfId="99"/>
    <cellStyle name="Accent2 20" xfId="4213"/>
    <cellStyle name="Accent2 21" xfId="4254"/>
    <cellStyle name="Accent2 22" xfId="4295"/>
    <cellStyle name="Accent2 23" xfId="4337"/>
    <cellStyle name="Accent2 24" xfId="4378"/>
    <cellStyle name="Accent2 25" xfId="4419"/>
    <cellStyle name="Accent2 26" xfId="4460"/>
    <cellStyle name="Accent2 27" xfId="4501"/>
    <cellStyle name="Accent2 28" xfId="4542"/>
    <cellStyle name="Accent2 29" xfId="4583"/>
    <cellStyle name="Accent2 3" xfId="288"/>
    <cellStyle name="Accent2 30" xfId="4625"/>
    <cellStyle name="Accent2 31" xfId="4667"/>
    <cellStyle name="Accent2 32" xfId="4708"/>
    <cellStyle name="Accent2 33" xfId="4749"/>
    <cellStyle name="Accent2 34" xfId="4790"/>
    <cellStyle name="Accent2 35" xfId="4831"/>
    <cellStyle name="Accent2 36" xfId="4872"/>
    <cellStyle name="Accent2 4" xfId="329"/>
    <cellStyle name="Accent2 5" xfId="370"/>
    <cellStyle name="Accent2 6" xfId="411"/>
    <cellStyle name="Accent2 7" xfId="452"/>
    <cellStyle name="Accent2 8" xfId="493"/>
    <cellStyle name="Accent2 9" xfId="534"/>
    <cellStyle name="Accent3 10" xfId="579"/>
    <cellStyle name="Accent3 11" xfId="903"/>
    <cellStyle name="Accent3 12" xfId="944"/>
    <cellStyle name="Accent3 13" xfId="1925"/>
    <cellStyle name="Accent3 14" xfId="3971"/>
    <cellStyle name="Accent3 15" xfId="4012"/>
    <cellStyle name="Accent3 16" xfId="4053"/>
    <cellStyle name="Accent3 17" xfId="4094"/>
    <cellStyle name="Accent3 18" xfId="4135"/>
    <cellStyle name="Accent3 19" xfId="4176"/>
    <cellStyle name="Accent3 2" xfId="22"/>
    <cellStyle name="Accent3 2 2" xfId="103"/>
    <cellStyle name="Accent3 20" xfId="4217"/>
    <cellStyle name="Accent3 21" xfId="4258"/>
    <cellStyle name="Accent3 22" xfId="4299"/>
    <cellStyle name="Accent3 23" xfId="4341"/>
    <cellStyle name="Accent3 24" xfId="4382"/>
    <cellStyle name="Accent3 25" xfId="4423"/>
    <cellStyle name="Accent3 26" xfId="4464"/>
    <cellStyle name="Accent3 27" xfId="4505"/>
    <cellStyle name="Accent3 28" xfId="4546"/>
    <cellStyle name="Accent3 29" xfId="4587"/>
    <cellStyle name="Accent3 3" xfId="292"/>
    <cellStyle name="Accent3 30" xfId="4629"/>
    <cellStyle name="Accent3 31" xfId="4671"/>
    <cellStyle name="Accent3 32" xfId="4712"/>
    <cellStyle name="Accent3 33" xfId="4753"/>
    <cellStyle name="Accent3 34" xfId="4794"/>
    <cellStyle name="Accent3 35" xfId="4835"/>
    <cellStyle name="Accent3 36" xfId="4876"/>
    <cellStyle name="Accent3 4" xfId="333"/>
    <cellStyle name="Accent3 5" xfId="374"/>
    <cellStyle name="Accent3 6" xfId="415"/>
    <cellStyle name="Accent3 7" xfId="456"/>
    <cellStyle name="Accent3 8" xfId="497"/>
    <cellStyle name="Accent3 9" xfId="538"/>
    <cellStyle name="Accent4 10" xfId="583"/>
    <cellStyle name="Accent4 11" xfId="907"/>
    <cellStyle name="Accent4 12" xfId="948"/>
    <cellStyle name="Accent4 13" xfId="1929"/>
    <cellStyle name="Accent4 14" xfId="3975"/>
    <cellStyle name="Accent4 15" xfId="4016"/>
    <cellStyle name="Accent4 16" xfId="4057"/>
    <cellStyle name="Accent4 17" xfId="4098"/>
    <cellStyle name="Accent4 18" xfId="4139"/>
    <cellStyle name="Accent4 19" xfId="4180"/>
    <cellStyle name="Accent4 2" xfId="23"/>
    <cellStyle name="Accent4 2 2" xfId="107"/>
    <cellStyle name="Accent4 20" xfId="4221"/>
    <cellStyle name="Accent4 21" xfId="4262"/>
    <cellStyle name="Accent4 22" xfId="4303"/>
    <cellStyle name="Accent4 23" xfId="4345"/>
    <cellStyle name="Accent4 24" xfId="4386"/>
    <cellStyle name="Accent4 25" xfId="4427"/>
    <cellStyle name="Accent4 26" xfId="4468"/>
    <cellStyle name="Accent4 27" xfId="4509"/>
    <cellStyle name="Accent4 28" xfId="4550"/>
    <cellStyle name="Accent4 29" xfId="4591"/>
    <cellStyle name="Accent4 3" xfId="296"/>
    <cellStyle name="Accent4 30" xfId="4633"/>
    <cellStyle name="Accent4 31" xfId="4675"/>
    <cellStyle name="Accent4 32" xfId="4716"/>
    <cellStyle name="Accent4 33" xfId="4757"/>
    <cellStyle name="Accent4 34" xfId="4798"/>
    <cellStyle name="Accent4 35" xfId="4839"/>
    <cellStyle name="Accent4 36" xfId="4880"/>
    <cellStyle name="Accent4 4" xfId="337"/>
    <cellStyle name="Accent4 5" xfId="378"/>
    <cellStyle name="Accent4 6" xfId="419"/>
    <cellStyle name="Accent4 7" xfId="460"/>
    <cellStyle name="Accent4 8" xfId="501"/>
    <cellStyle name="Accent4 9" xfId="542"/>
    <cellStyle name="Accent5 10" xfId="587"/>
    <cellStyle name="Accent5 11" xfId="911"/>
    <cellStyle name="Accent5 12" xfId="952"/>
    <cellStyle name="Accent5 13" xfId="1933"/>
    <cellStyle name="Accent5 14" xfId="3979"/>
    <cellStyle name="Accent5 15" xfId="4020"/>
    <cellStyle name="Accent5 16" xfId="4061"/>
    <cellStyle name="Accent5 17" xfId="4102"/>
    <cellStyle name="Accent5 18" xfId="4143"/>
    <cellStyle name="Accent5 19" xfId="4184"/>
    <cellStyle name="Accent5 2" xfId="24"/>
    <cellStyle name="Accent5 2 2" xfId="111"/>
    <cellStyle name="Accent5 20" xfId="4225"/>
    <cellStyle name="Accent5 21" xfId="4266"/>
    <cellStyle name="Accent5 22" xfId="4307"/>
    <cellStyle name="Accent5 23" xfId="4349"/>
    <cellStyle name="Accent5 24" xfId="4390"/>
    <cellStyle name="Accent5 25" xfId="4431"/>
    <cellStyle name="Accent5 26" xfId="4472"/>
    <cellStyle name="Accent5 27" xfId="4513"/>
    <cellStyle name="Accent5 28" xfId="4554"/>
    <cellStyle name="Accent5 29" xfId="4595"/>
    <cellStyle name="Accent5 3" xfId="300"/>
    <cellStyle name="Accent5 30" xfId="4637"/>
    <cellStyle name="Accent5 31" xfId="4679"/>
    <cellStyle name="Accent5 32" xfId="4720"/>
    <cellStyle name="Accent5 33" xfId="4761"/>
    <cellStyle name="Accent5 34" xfId="4802"/>
    <cellStyle name="Accent5 35" xfId="4843"/>
    <cellStyle name="Accent5 36" xfId="4884"/>
    <cellStyle name="Accent5 4" xfId="341"/>
    <cellStyle name="Accent5 5" xfId="382"/>
    <cellStyle name="Accent5 6" xfId="423"/>
    <cellStyle name="Accent5 7" xfId="464"/>
    <cellStyle name="Accent5 8" xfId="505"/>
    <cellStyle name="Accent5 9" xfId="546"/>
    <cellStyle name="Accent6 10" xfId="591"/>
    <cellStyle name="Accent6 11" xfId="915"/>
    <cellStyle name="Accent6 12" xfId="956"/>
    <cellStyle name="Accent6 13" xfId="1937"/>
    <cellStyle name="Accent6 14" xfId="3983"/>
    <cellStyle name="Accent6 15" xfId="4024"/>
    <cellStyle name="Accent6 16" xfId="4065"/>
    <cellStyle name="Accent6 17" xfId="4106"/>
    <cellStyle name="Accent6 18" xfId="4147"/>
    <cellStyle name="Accent6 19" xfId="4188"/>
    <cellStyle name="Accent6 2" xfId="25"/>
    <cellStyle name="Accent6 2 2" xfId="115"/>
    <cellStyle name="Accent6 20" xfId="4229"/>
    <cellStyle name="Accent6 21" xfId="4270"/>
    <cellStyle name="Accent6 22" xfId="4311"/>
    <cellStyle name="Accent6 23" xfId="4353"/>
    <cellStyle name="Accent6 24" xfId="4394"/>
    <cellStyle name="Accent6 25" xfId="4435"/>
    <cellStyle name="Accent6 26" xfId="4476"/>
    <cellStyle name="Accent6 27" xfId="4517"/>
    <cellStyle name="Accent6 28" xfId="4558"/>
    <cellStyle name="Accent6 29" xfId="4599"/>
    <cellStyle name="Accent6 3" xfId="304"/>
    <cellStyle name="Accent6 30" xfId="4641"/>
    <cellStyle name="Accent6 31" xfId="4683"/>
    <cellStyle name="Accent6 32" xfId="4724"/>
    <cellStyle name="Accent6 33" xfId="4765"/>
    <cellStyle name="Accent6 34" xfId="4806"/>
    <cellStyle name="Accent6 35" xfId="4847"/>
    <cellStyle name="Accent6 36" xfId="4888"/>
    <cellStyle name="Accent6 4" xfId="345"/>
    <cellStyle name="Accent6 5" xfId="386"/>
    <cellStyle name="Accent6 6" xfId="427"/>
    <cellStyle name="Accent6 7" xfId="468"/>
    <cellStyle name="Accent6 8" xfId="509"/>
    <cellStyle name="Accent6 9" xfId="550"/>
    <cellStyle name="Bad 10" xfId="560"/>
    <cellStyle name="Bad 11" xfId="884"/>
    <cellStyle name="Bad 12" xfId="925"/>
    <cellStyle name="Bad 13" xfId="1906"/>
    <cellStyle name="Bad 14" xfId="3952"/>
    <cellStyle name="Bad 15" xfId="3993"/>
    <cellStyle name="Bad 16" xfId="4034"/>
    <cellStyle name="Bad 17" xfId="4075"/>
    <cellStyle name="Bad 18" xfId="4116"/>
    <cellStyle name="Bad 19" xfId="4157"/>
    <cellStyle name="Bad 2" xfId="26"/>
    <cellStyle name="Bad 2 2" xfId="85"/>
    <cellStyle name="Bad 20" xfId="4198"/>
    <cellStyle name="Bad 21" xfId="4239"/>
    <cellStyle name="Bad 22" xfId="4280"/>
    <cellStyle name="Bad 23" xfId="4322"/>
    <cellStyle name="Bad 24" xfId="4363"/>
    <cellStyle name="Bad 25" xfId="4404"/>
    <cellStyle name="Bad 26" xfId="4445"/>
    <cellStyle name="Bad 27" xfId="4486"/>
    <cellStyle name="Bad 28" xfId="4527"/>
    <cellStyle name="Bad 29" xfId="4568"/>
    <cellStyle name="Bad 3" xfId="273"/>
    <cellStyle name="Bad 30" xfId="4610"/>
    <cellStyle name="Bad 31" xfId="4652"/>
    <cellStyle name="Bad 32" xfId="4693"/>
    <cellStyle name="Bad 33" xfId="4734"/>
    <cellStyle name="Bad 34" xfId="4775"/>
    <cellStyle name="Bad 35" xfId="4816"/>
    <cellStyle name="Bad 36" xfId="4857"/>
    <cellStyle name="Bad 4" xfId="314"/>
    <cellStyle name="Bad 5" xfId="355"/>
    <cellStyle name="Bad 6" xfId="396"/>
    <cellStyle name="Bad 7" xfId="437"/>
    <cellStyle name="Bad 8" xfId="478"/>
    <cellStyle name="Bad 9" xfId="519"/>
    <cellStyle name="Calculation 10" xfId="564"/>
    <cellStyle name="Calculation 11" xfId="888"/>
    <cellStyle name="Calculation 12" xfId="929"/>
    <cellStyle name="Calculation 13" xfId="1910"/>
    <cellStyle name="Calculation 14" xfId="3956"/>
    <cellStyle name="Calculation 15" xfId="3997"/>
    <cellStyle name="Calculation 16" xfId="4038"/>
    <cellStyle name="Calculation 17" xfId="4079"/>
    <cellStyle name="Calculation 18" xfId="4120"/>
    <cellStyle name="Calculation 19" xfId="4161"/>
    <cellStyle name="Calculation 2" xfId="27"/>
    <cellStyle name="Calculation 2 2" xfId="89"/>
    <cellStyle name="Calculation 20" xfId="4202"/>
    <cellStyle name="Calculation 21" xfId="4243"/>
    <cellStyle name="Calculation 22" xfId="4284"/>
    <cellStyle name="Calculation 23" xfId="4326"/>
    <cellStyle name="Calculation 24" xfId="4367"/>
    <cellStyle name="Calculation 25" xfId="4408"/>
    <cellStyle name="Calculation 26" xfId="4449"/>
    <cellStyle name="Calculation 27" xfId="4490"/>
    <cellStyle name="Calculation 28" xfId="4531"/>
    <cellStyle name="Calculation 29" xfId="4572"/>
    <cellStyle name="Calculation 3" xfId="277"/>
    <cellStyle name="Calculation 30" xfId="4614"/>
    <cellStyle name="Calculation 31" xfId="4656"/>
    <cellStyle name="Calculation 32" xfId="4697"/>
    <cellStyle name="Calculation 33" xfId="4738"/>
    <cellStyle name="Calculation 34" xfId="4779"/>
    <cellStyle name="Calculation 35" xfId="4820"/>
    <cellStyle name="Calculation 36" xfId="4861"/>
    <cellStyle name="Calculation 4" xfId="318"/>
    <cellStyle name="Calculation 5" xfId="359"/>
    <cellStyle name="Calculation 6" xfId="400"/>
    <cellStyle name="Calculation 7" xfId="441"/>
    <cellStyle name="Calculation 8" xfId="482"/>
    <cellStyle name="Calculation 9" xfId="523"/>
    <cellStyle name="Check Cell 10" xfId="566"/>
    <cellStyle name="Check Cell 11" xfId="890"/>
    <cellStyle name="Check Cell 12" xfId="931"/>
    <cellStyle name="Check Cell 13" xfId="1912"/>
    <cellStyle name="Check Cell 14" xfId="3958"/>
    <cellStyle name="Check Cell 15" xfId="3999"/>
    <cellStyle name="Check Cell 16" xfId="4040"/>
    <cellStyle name="Check Cell 17" xfId="4081"/>
    <cellStyle name="Check Cell 18" xfId="4122"/>
    <cellStyle name="Check Cell 19" xfId="4163"/>
    <cellStyle name="Check Cell 2" xfId="28"/>
    <cellStyle name="Check Cell 2 2" xfId="91"/>
    <cellStyle name="Check Cell 20" xfId="4204"/>
    <cellStyle name="Check Cell 21" xfId="4245"/>
    <cellStyle name="Check Cell 22" xfId="4286"/>
    <cellStyle name="Check Cell 23" xfId="4328"/>
    <cellStyle name="Check Cell 24" xfId="4369"/>
    <cellStyle name="Check Cell 25" xfId="4410"/>
    <cellStyle name="Check Cell 26" xfId="4451"/>
    <cellStyle name="Check Cell 27" xfId="4492"/>
    <cellStyle name="Check Cell 28" xfId="4533"/>
    <cellStyle name="Check Cell 29" xfId="4574"/>
    <cellStyle name="Check Cell 3" xfId="279"/>
    <cellStyle name="Check Cell 30" xfId="4616"/>
    <cellStyle name="Check Cell 31" xfId="4658"/>
    <cellStyle name="Check Cell 32" xfId="4699"/>
    <cellStyle name="Check Cell 33" xfId="4740"/>
    <cellStyle name="Check Cell 34" xfId="4781"/>
    <cellStyle name="Check Cell 35" xfId="4822"/>
    <cellStyle name="Check Cell 36" xfId="4863"/>
    <cellStyle name="Check Cell 4" xfId="320"/>
    <cellStyle name="Check Cell 5" xfId="361"/>
    <cellStyle name="Check Cell 6" xfId="402"/>
    <cellStyle name="Check Cell 7" xfId="443"/>
    <cellStyle name="Check Cell 8" xfId="484"/>
    <cellStyle name="Check Cell 9" xfId="525"/>
    <cellStyle name="Comma" xfId="4892" builtinId="3"/>
    <cellStyle name="Comma 2 10" xfId="1008"/>
    <cellStyle name="Comma 2 11" xfId="1141"/>
    <cellStyle name="Comma 2 12" xfId="1024"/>
    <cellStyle name="Comma 2 2" xfId="74"/>
    <cellStyle name="Comma 2 2 10" xfId="1016"/>
    <cellStyle name="Comma 2 2 2" xfId="127"/>
    <cellStyle name="Comma 2 2 2 2" xfId="159"/>
    <cellStyle name="Comma 2 2 2 2 2" xfId="248"/>
    <cellStyle name="Comma 2 2 2 2 2 2" xfId="754"/>
    <cellStyle name="Comma 2 2 2 2 2 2 2" xfId="1699"/>
    <cellStyle name="Comma 2 2 2 2 2 2 3" xfId="2305"/>
    <cellStyle name="Comma 2 2 2 2 2 2 4" xfId="2859"/>
    <cellStyle name="Comma 2 2 2 2 2 2 5" xfId="3371"/>
    <cellStyle name="Comma 2 2 2 2 2 2 6" xfId="3795"/>
    <cellStyle name="Comma 2 2 2 2 2 3" xfId="1211"/>
    <cellStyle name="Comma 2 2 2 2 2 4" xfId="1848"/>
    <cellStyle name="Comma 2 2 2 2 2 5" xfId="1987"/>
    <cellStyle name="Comma 2 2 2 2 2 6" xfId="2553"/>
    <cellStyle name="Comma 2 2 2 2 2 7" xfId="3091"/>
    <cellStyle name="Comma 2 2 2 2 3" xfId="666"/>
    <cellStyle name="Comma 2 2 2 2 3 2" xfId="1611"/>
    <cellStyle name="Comma 2 2 2 2 3 3" xfId="2217"/>
    <cellStyle name="Comma 2 2 2 2 3 4" xfId="2771"/>
    <cellStyle name="Comma 2 2 2 2 3 5" xfId="3283"/>
    <cellStyle name="Comma 2 2 2 2 3 6" xfId="3707"/>
    <cellStyle name="Comma 2 2 2 2 4" xfId="1122"/>
    <cellStyle name="Comma 2 2 2 2 5" xfId="1035"/>
    <cellStyle name="Comma 2 2 2 2 6" xfId="2509"/>
    <cellStyle name="Comma 2 2 2 2 7" xfId="3055"/>
    <cellStyle name="Comma 2 2 2 2 8" xfId="3556"/>
    <cellStyle name="Comma 2 2 2 3" xfId="204"/>
    <cellStyle name="Comma 2 2 2 3 2" xfId="710"/>
    <cellStyle name="Comma 2 2 2 3 2 2" xfId="1655"/>
    <cellStyle name="Comma 2 2 2 3 2 3" xfId="2261"/>
    <cellStyle name="Comma 2 2 2 3 2 4" xfId="2815"/>
    <cellStyle name="Comma 2 2 2 3 2 5" xfId="3327"/>
    <cellStyle name="Comma 2 2 2 3 2 6" xfId="3751"/>
    <cellStyle name="Comma 2 2 2 3 3" xfId="1167"/>
    <cellStyle name="Comma 2 2 2 3 4" xfId="1432"/>
    <cellStyle name="Comma 2 2 2 3 5" xfId="2120"/>
    <cellStyle name="Comma 2 2 2 3 6" xfId="2678"/>
    <cellStyle name="Comma 2 2 2 3 7" xfId="3194"/>
    <cellStyle name="Comma 2 2 2 4" xfId="622"/>
    <cellStyle name="Comma 2 2 2 4 2" xfId="1567"/>
    <cellStyle name="Comma 2 2 2 4 3" xfId="2173"/>
    <cellStyle name="Comma 2 2 2 4 4" xfId="2727"/>
    <cellStyle name="Comma 2 2 2 4 5" xfId="3239"/>
    <cellStyle name="Comma 2 2 2 4 6" xfId="3663"/>
    <cellStyle name="Comma 2 2 2 5" xfId="1078"/>
    <cellStyle name="Comma 2 2 2 6" xfId="994"/>
    <cellStyle name="Comma 2 2 2 7" xfId="1963"/>
    <cellStyle name="Comma 2 2 2 8" xfId="2530"/>
    <cellStyle name="Comma 2 2 2 9" xfId="3071"/>
    <cellStyle name="Comma 2 2 3" xfId="137"/>
    <cellStyle name="Comma 2 2 3 2" xfId="226"/>
    <cellStyle name="Comma 2 2 3 2 2" xfId="732"/>
    <cellStyle name="Comma 2 2 3 2 2 2" xfId="1677"/>
    <cellStyle name="Comma 2 2 3 2 2 3" xfId="2283"/>
    <cellStyle name="Comma 2 2 3 2 2 4" xfId="2837"/>
    <cellStyle name="Comma 2 2 3 2 2 5" xfId="3349"/>
    <cellStyle name="Comma 2 2 3 2 2 6" xfId="3773"/>
    <cellStyle name="Comma 2 2 3 2 3" xfId="1189"/>
    <cellStyle name="Comma 2 2 3 2 4" xfId="983"/>
    <cellStyle name="Comma 2 2 3 2 5" xfId="1314"/>
    <cellStyle name="Comma 2 2 3 2 6" xfId="1510"/>
    <cellStyle name="Comma 2 2 3 2 7" xfId="1037"/>
    <cellStyle name="Comma 2 2 3 3" xfId="644"/>
    <cellStyle name="Comma 2 2 3 3 2" xfId="1589"/>
    <cellStyle name="Comma 2 2 3 3 3" xfId="2195"/>
    <cellStyle name="Comma 2 2 3 3 4" xfId="2749"/>
    <cellStyle name="Comma 2 2 3 3 5" xfId="3261"/>
    <cellStyle name="Comma 2 2 3 3 6" xfId="3685"/>
    <cellStyle name="Comma 2 2 3 4" xfId="1100"/>
    <cellStyle name="Comma 2 2 3 5" xfId="1825"/>
    <cellStyle name="Comma 2 2 3 6" xfId="1000"/>
    <cellStyle name="Comma 2 2 3 7" xfId="2469"/>
    <cellStyle name="Comma 2 2 3 8" xfId="3020"/>
    <cellStyle name="Comma 2 2 4" xfId="182"/>
    <cellStyle name="Comma 2 2 4 2" xfId="688"/>
    <cellStyle name="Comma 2 2 4 2 2" xfId="1633"/>
    <cellStyle name="Comma 2 2 4 2 3" xfId="2239"/>
    <cellStyle name="Comma 2 2 4 2 4" xfId="2793"/>
    <cellStyle name="Comma 2 2 4 2 5" xfId="3305"/>
    <cellStyle name="Comma 2 2 4 2 6" xfId="3729"/>
    <cellStyle name="Comma 2 2 4 3" xfId="1145"/>
    <cellStyle name="Comma 2 2 4 4" xfId="1358"/>
    <cellStyle name="Comma 2 2 4 5" xfId="1489"/>
    <cellStyle name="Comma 2 2 4 6" xfId="2104"/>
    <cellStyle name="Comma 2 2 4 7" xfId="2663"/>
    <cellStyle name="Comma 2 2 5" xfId="600"/>
    <cellStyle name="Comma 2 2 5 2" xfId="1545"/>
    <cellStyle name="Comma 2 2 5 3" xfId="2151"/>
    <cellStyle name="Comma 2 2 5 4" xfId="2705"/>
    <cellStyle name="Comma 2 2 5 5" xfId="3217"/>
    <cellStyle name="Comma 2 2 5 6" xfId="3641"/>
    <cellStyle name="Comma 2 2 6" xfId="1028"/>
    <cellStyle name="Comma 2 2 7" xfId="1007"/>
    <cellStyle name="Comma 2 2 8" xfId="1541"/>
    <cellStyle name="Comma 2 2 9" xfId="1026"/>
    <cellStyle name="Comma 2 3" xfId="77"/>
    <cellStyle name="Comma 2 3 10" xfId="1027"/>
    <cellStyle name="Comma 2 3 2" xfId="128"/>
    <cellStyle name="Comma 2 3 2 2" xfId="160"/>
    <cellStyle name="Comma 2 3 2 2 2" xfId="249"/>
    <cellStyle name="Comma 2 3 2 2 2 2" xfId="755"/>
    <cellStyle name="Comma 2 3 2 2 2 2 2" xfId="1700"/>
    <cellStyle name="Comma 2 3 2 2 2 2 3" xfId="2306"/>
    <cellStyle name="Comma 2 3 2 2 2 2 4" xfId="2860"/>
    <cellStyle name="Comma 2 3 2 2 2 2 5" xfId="3372"/>
    <cellStyle name="Comma 2 3 2 2 2 2 6" xfId="3796"/>
    <cellStyle name="Comma 2 3 2 2 2 3" xfId="1212"/>
    <cellStyle name="Comma 2 3 2 2 2 4" xfId="1529"/>
    <cellStyle name="Comma 2 3 2 2 2 5" xfId="1951"/>
    <cellStyle name="Comma 2 3 2 2 2 6" xfId="1279"/>
    <cellStyle name="Comma 2 3 2 2 2 7" xfId="1396"/>
    <cellStyle name="Comma 2 3 2 2 3" xfId="667"/>
    <cellStyle name="Comma 2 3 2 2 3 2" xfId="1612"/>
    <cellStyle name="Comma 2 3 2 2 3 3" xfId="2218"/>
    <cellStyle name="Comma 2 3 2 2 3 4" xfId="2772"/>
    <cellStyle name="Comma 2 3 2 2 3 5" xfId="3284"/>
    <cellStyle name="Comma 2 3 2 2 3 6" xfId="3708"/>
    <cellStyle name="Comma 2 3 2 2 4" xfId="1123"/>
    <cellStyle name="Comma 2 3 2 2 5" xfId="1865"/>
    <cellStyle name="Comma 2 3 2 2 6" xfId="2470"/>
    <cellStyle name="Comma 2 3 2 2 7" xfId="3021"/>
    <cellStyle name="Comma 2 3 2 2 8" xfId="3526"/>
    <cellStyle name="Comma 2 3 2 3" xfId="205"/>
    <cellStyle name="Comma 2 3 2 3 2" xfId="711"/>
    <cellStyle name="Comma 2 3 2 3 2 2" xfId="1656"/>
    <cellStyle name="Comma 2 3 2 3 2 3" xfId="2262"/>
    <cellStyle name="Comma 2 3 2 3 2 4" xfId="2816"/>
    <cellStyle name="Comma 2 3 2 3 2 5" xfId="3328"/>
    <cellStyle name="Comma 2 3 2 3 2 6" xfId="3752"/>
    <cellStyle name="Comma 2 3 2 3 3" xfId="1168"/>
    <cellStyle name="Comma 2 3 2 3 4" xfId="1393"/>
    <cellStyle name="Comma 2 3 2 3 5" xfId="1347"/>
    <cellStyle name="Comma 2 3 2 3 6" xfId="2034"/>
    <cellStyle name="Comma 2 3 2 3 7" xfId="2598"/>
    <cellStyle name="Comma 2 3 2 4" xfId="623"/>
    <cellStyle name="Comma 2 3 2 4 2" xfId="1568"/>
    <cellStyle name="Comma 2 3 2 4 3" xfId="2174"/>
    <cellStyle name="Comma 2 3 2 4 4" xfId="2728"/>
    <cellStyle name="Comma 2 3 2 4 5" xfId="3240"/>
    <cellStyle name="Comma 2 3 2 4 6" xfId="3664"/>
    <cellStyle name="Comma 2 3 2 5" xfId="1079"/>
    <cellStyle name="Comma 2 3 2 6" xfId="1467"/>
    <cellStyle name="Comma 2 3 2 7" xfId="1249"/>
    <cellStyle name="Comma 2 3 2 8" xfId="1946"/>
    <cellStyle name="Comma 2 3 2 9" xfId="2013"/>
    <cellStyle name="Comma 2 3 3" xfId="138"/>
    <cellStyle name="Comma 2 3 3 2" xfId="227"/>
    <cellStyle name="Comma 2 3 3 2 2" xfId="733"/>
    <cellStyle name="Comma 2 3 3 2 2 2" xfId="1678"/>
    <cellStyle name="Comma 2 3 3 2 2 3" xfId="2284"/>
    <cellStyle name="Comma 2 3 3 2 2 4" xfId="2838"/>
    <cellStyle name="Comma 2 3 3 2 2 5" xfId="3350"/>
    <cellStyle name="Comma 2 3 3 2 2 6" xfId="3774"/>
    <cellStyle name="Comma 2 3 3 2 3" xfId="1190"/>
    <cellStyle name="Comma 2 3 3 2 4" xfId="1494"/>
    <cellStyle name="Comma 2 3 3 2 5" xfId="2514"/>
    <cellStyle name="Comma 2 3 3 2 6" xfId="3060"/>
    <cellStyle name="Comma 2 3 3 2 7" xfId="3561"/>
    <cellStyle name="Comma 2 3 3 3" xfId="645"/>
    <cellStyle name="Comma 2 3 3 3 2" xfId="1590"/>
    <cellStyle name="Comma 2 3 3 3 3" xfId="2196"/>
    <cellStyle name="Comma 2 3 3 3 4" xfId="2750"/>
    <cellStyle name="Comma 2 3 3 3 5" xfId="3262"/>
    <cellStyle name="Comma 2 3 3 3 6" xfId="3686"/>
    <cellStyle name="Comma 2 3 3 4" xfId="1101"/>
    <cellStyle name="Comma 2 3 3 5" xfId="1503"/>
    <cellStyle name="Comma 2 3 3 6" xfId="2073"/>
    <cellStyle name="Comma 2 3 3 7" xfId="2636"/>
    <cellStyle name="Comma 2 3 3 8" xfId="3157"/>
    <cellStyle name="Comma 2 3 4" xfId="183"/>
    <cellStyle name="Comma 2 3 4 2" xfId="689"/>
    <cellStyle name="Comma 2 3 4 2 2" xfId="1634"/>
    <cellStyle name="Comma 2 3 4 2 3" xfId="2240"/>
    <cellStyle name="Comma 2 3 4 2 4" xfId="2794"/>
    <cellStyle name="Comma 2 3 4 2 5" xfId="3306"/>
    <cellStyle name="Comma 2 3 4 2 6" xfId="3730"/>
    <cellStyle name="Comma 2 3 4 3" xfId="1146"/>
    <cellStyle name="Comma 2 3 4 4" xfId="1319"/>
    <cellStyle name="Comma 2 3 4 5" xfId="1045"/>
    <cellStyle name="Comma 2 3 4 6" xfId="2133"/>
    <cellStyle name="Comma 2 3 4 7" xfId="2687"/>
    <cellStyle name="Comma 2 3 5" xfId="601"/>
    <cellStyle name="Comma 2 3 5 2" xfId="1546"/>
    <cellStyle name="Comma 2 3 5 3" xfId="2152"/>
    <cellStyle name="Comma 2 3 5 4" xfId="2706"/>
    <cellStyle name="Comma 2 3 5 5" xfId="3218"/>
    <cellStyle name="Comma 2 3 5 6" xfId="3642"/>
    <cellStyle name="Comma 2 3 6" xfId="1029"/>
    <cellStyle name="Comma 2 3 7" xfId="1006"/>
    <cellStyle name="Comma 2 3 8" xfId="1017"/>
    <cellStyle name="Comma 2 3 9" xfId="1011"/>
    <cellStyle name="Comma 2 4" xfId="126"/>
    <cellStyle name="Comma 2 4 2" xfId="158"/>
    <cellStyle name="Comma 2 4 2 2" xfId="247"/>
    <cellStyle name="Comma 2 4 2 2 2" xfId="753"/>
    <cellStyle name="Comma 2 4 2 2 2 2" xfId="1698"/>
    <cellStyle name="Comma 2 4 2 2 2 3" xfId="2304"/>
    <cellStyle name="Comma 2 4 2 2 2 4" xfId="2858"/>
    <cellStyle name="Comma 2 4 2 2 2 5" xfId="3370"/>
    <cellStyle name="Comma 2 4 2 2 2 6" xfId="3794"/>
    <cellStyle name="Comma 2 4 2 2 3" xfId="1210"/>
    <cellStyle name="Comma 2 4 2 2 4" xfId="1888"/>
    <cellStyle name="Comma 2 4 2 2 5" xfId="2026"/>
    <cellStyle name="Comma 2 4 2 2 6" xfId="2590"/>
    <cellStyle name="Comma 2 4 2 2 7" xfId="3120"/>
    <cellStyle name="Comma 2 4 2 3" xfId="665"/>
    <cellStyle name="Comma 2 4 2 3 2" xfId="1610"/>
    <cellStyle name="Comma 2 4 2 3 3" xfId="2216"/>
    <cellStyle name="Comma 2 4 2 3 4" xfId="2770"/>
    <cellStyle name="Comma 2 4 2 3 5" xfId="3282"/>
    <cellStyle name="Comma 2 4 2 3 6" xfId="3706"/>
    <cellStyle name="Comma 2 4 2 4" xfId="1121"/>
    <cellStyle name="Comma 2 4 2 5" xfId="1235"/>
    <cellStyle name="Comma 2 4 2 6" xfId="1004"/>
    <cellStyle name="Comma 2 4 2 7" xfId="1019"/>
    <cellStyle name="Comma 2 4 2 8" xfId="1316"/>
    <cellStyle name="Comma 2 4 3" xfId="203"/>
    <cellStyle name="Comma 2 4 3 2" xfId="709"/>
    <cellStyle name="Comma 2 4 3 2 2" xfId="1654"/>
    <cellStyle name="Comma 2 4 3 2 3" xfId="2260"/>
    <cellStyle name="Comma 2 4 3 2 4" xfId="2814"/>
    <cellStyle name="Comma 2 4 3 2 5" xfId="3326"/>
    <cellStyle name="Comma 2 4 3 2 6" xfId="3750"/>
    <cellStyle name="Comma 2 4 3 3" xfId="1166"/>
    <cellStyle name="Comma 2 4 3 4" xfId="1470"/>
    <cellStyle name="Comma 2 4 3 5" xfId="2441"/>
    <cellStyle name="Comma 2 4 3 6" xfId="2994"/>
    <cellStyle name="Comma 2 4 3 7" xfId="3505"/>
    <cellStyle name="Comma 2 4 4" xfId="621"/>
    <cellStyle name="Comma 2 4 4 2" xfId="1566"/>
    <cellStyle name="Comma 2 4 4 3" xfId="2172"/>
    <cellStyle name="Comma 2 4 4 4" xfId="2726"/>
    <cellStyle name="Comma 2 4 4 5" xfId="3238"/>
    <cellStyle name="Comma 2 4 4 6" xfId="3662"/>
    <cellStyle name="Comma 2 4 5" xfId="1077"/>
    <cellStyle name="Comma 2 4 6" xfId="1505"/>
    <cellStyle name="Comma 2 4 7" xfId="1999"/>
    <cellStyle name="Comma 2 4 8" xfId="2565"/>
    <cellStyle name="Comma 2 4 9" xfId="3101"/>
    <cellStyle name="Comma 2 5" xfId="136"/>
    <cellStyle name="Comma 2 5 2" xfId="225"/>
    <cellStyle name="Comma 2 5 2 2" xfId="731"/>
    <cellStyle name="Comma 2 5 2 2 2" xfId="1676"/>
    <cellStyle name="Comma 2 5 2 2 3" xfId="2282"/>
    <cellStyle name="Comma 2 5 2 2 4" xfId="2836"/>
    <cellStyle name="Comma 2 5 2 2 5" xfId="3348"/>
    <cellStyle name="Comma 2 5 2 2 6" xfId="3772"/>
    <cellStyle name="Comma 2 5 2 3" xfId="1188"/>
    <cellStyle name="Comma 2 5 2 4" xfId="1536"/>
    <cellStyle name="Comma 2 5 2 5" xfId="1522"/>
    <cellStyle name="Comma 2 5 2 6" xfId="2018"/>
    <cellStyle name="Comma 2 5 2 7" xfId="2582"/>
    <cellStyle name="Comma 2 5 3" xfId="643"/>
    <cellStyle name="Comma 2 5 3 2" xfId="1588"/>
    <cellStyle name="Comma 2 5 3 3" xfId="2194"/>
    <cellStyle name="Comma 2 5 3 4" xfId="2748"/>
    <cellStyle name="Comma 2 5 3 5" xfId="3260"/>
    <cellStyle name="Comma 2 5 3 6" xfId="3684"/>
    <cellStyle name="Comma 2 5 4" xfId="1099"/>
    <cellStyle name="Comma 2 5 5" xfId="1862"/>
    <cellStyle name="Comma 2 5 6" xfId="2111"/>
    <cellStyle name="Comma 2 5 7" xfId="2670"/>
    <cellStyle name="Comma 2 5 8" xfId="3187"/>
    <cellStyle name="Comma 2 6" xfId="181"/>
    <cellStyle name="Comma 2 6 2" xfId="687"/>
    <cellStyle name="Comma 2 6 2 2" xfId="1632"/>
    <cellStyle name="Comma 2 6 2 3" xfId="2238"/>
    <cellStyle name="Comma 2 6 2 4" xfId="2792"/>
    <cellStyle name="Comma 2 6 2 5" xfId="3304"/>
    <cellStyle name="Comma 2 6 2 6" xfId="3728"/>
    <cellStyle name="Comma 2 6 3" xfId="1144"/>
    <cellStyle name="Comma 2 6 4" xfId="1399"/>
    <cellStyle name="Comma 2 6 5" xfId="967"/>
    <cellStyle name="Comma 2 6 6" xfId="2017"/>
    <cellStyle name="Comma 2 6 7" xfId="2581"/>
    <cellStyle name="Comma 2 7" xfId="599"/>
    <cellStyle name="Comma 2 7 2" xfId="1544"/>
    <cellStyle name="Comma 2 7 3" xfId="2150"/>
    <cellStyle name="Comma 2 7 4" xfId="2704"/>
    <cellStyle name="Comma 2 7 5" xfId="3216"/>
    <cellStyle name="Comma 2 7 6" xfId="3640"/>
    <cellStyle name="Comma 2 8" xfId="1025"/>
    <cellStyle name="Comma 2 9" xfId="1009"/>
    <cellStyle name="Euro" xfId="29"/>
    <cellStyle name="Explanatory Text 10" xfId="569"/>
    <cellStyle name="Explanatory Text 11" xfId="893"/>
    <cellStyle name="Explanatory Text 12" xfId="934"/>
    <cellStyle name="Explanatory Text 13" xfId="1915"/>
    <cellStyle name="Explanatory Text 14" xfId="3961"/>
    <cellStyle name="Explanatory Text 15" xfId="4002"/>
    <cellStyle name="Explanatory Text 16" xfId="4043"/>
    <cellStyle name="Explanatory Text 17" xfId="4084"/>
    <cellStyle name="Explanatory Text 18" xfId="4125"/>
    <cellStyle name="Explanatory Text 19" xfId="4166"/>
    <cellStyle name="Explanatory Text 2" xfId="30"/>
    <cellStyle name="Explanatory Text 2 2" xfId="93"/>
    <cellStyle name="Explanatory Text 20" xfId="4207"/>
    <cellStyle name="Explanatory Text 21" xfId="4248"/>
    <cellStyle name="Explanatory Text 22" xfId="4289"/>
    <cellStyle name="Explanatory Text 23" xfId="4331"/>
    <cellStyle name="Explanatory Text 24" xfId="4372"/>
    <cellStyle name="Explanatory Text 25" xfId="4413"/>
    <cellStyle name="Explanatory Text 26" xfId="4454"/>
    <cellStyle name="Explanatory Text 27" xfId="4495"/>
    <cellStyle name="Explanatory Text 28" xfId="4536"/>
    <cellStyle name="Explanatory Text 29" xfId="4577"/>
    <cellStyle name="Explanatory Text 3" xfId="282"/>
    <cellStyle name="Explanatory Text 30" xfId="4619"/>
    <cellStyle name="Explanatory Text 31" xfId="4661"/>
    <cellStyle name="Explanatory Text 32" xfId="4702"/>
    <cellStyle name="Explanatory Text 33" xfId="4743"/>
    <cellStyle name="Explanatory Text 34" xfId="4784"/>
    <cellStyle name="Explanatory Text 35" xfId="4825"/>
    <cellStyle name="Explanatory Text 36" xfId="4866"/>
    <cellStyle name="Explanatory Text 4" xfId="323"/>
    <cellStyle name="Explanatory Text 5" xfId="364"/>
    <cellStyle name="Explanatory Text 6" xfId="405"/>
    <cellStyle name="Explanatory Text 7" xfId="446"/>
    <cellStyle name="Explanatory Text 8" xfId="487"/>
    <cellStyle name="Explanatory Text 9" xfId="528"/>
    <cellStyle name="Good 10" xfId="559"/>
    <cellStyle name="Good 11" xfId="883"/>
    <cellStyle name="Good 12" xfId="924"/>
    <cellStyle name="Good 13" xfId="1905"/>
    <cellStyle name="Good 14" xfId="3951"/>
    <cellStyle name="Good 15" xfId="3992"/>
    <cellStyle name="Good 16" xfId="4033"/>
    <cellStyle name="Good 17" xfId="4074"/>
    <cellStyle name="Good 18" xfId="4115"/>
    <cellStyle name="Good 19" xfId="4156"/>
    <cellStyle name="Good 2" xfId="31"/>
    <cellStyle name="Good 2 2" xfId="84"/>
    <cellStyle name="Good 20" xfId="4197"/>
    <cellStyle name="Good 21" xfId="4238"/>
    <cellStyle name="Good 22" xfId="4279"/>
    <cellStyle name="Good 23" xfId="4321"/>
    <cellStyle name="Good 24" xfId="4362"/>
    <cellStyle name="Good 25" xfId="4403"/>
    <cellStyle name="Good 26" xfId="4444"/>
    <cellStyle name="Good 27" xfId="4485"/>
    <cellStyle name="Good 28" xfId="4526"/>
    <cellStyle name="Good 29" xfId="4567"/>
    <cellStyle name="Good 3" xfId="272"/>
    <cellStyle name="Good 30" xfId="4609"/>
    <cellStyle name="Good 31" xfId="4651"/>
    <cellStyle name="Good 32" xfId="4692"/>
    <cellStyle name="Good 33" xfId="4733"/>
    <cellStyle name="Good 34" xfId="4774"/>
    <cellStyle name="Good 35" xfId="4815"/>
    <cellStyle name="Good 36" xfId="4856"/>
    <cellStyle name="Good 4" xfId="313"/>
    <cellStyle name="Good 5" xfId="354"/>
    <cellStyle name="Good 6" xfId="395"/>
    <cellStyle name="Good 7" xfId="436"/>
    <cellStyle name="Good 8" xfId="477"/>
    <cellStyle name="Good 9" xfId="518"/>
    <cellStyle name="Heading 1 10" xfId="555"/>
    <cellStyle name="Heading 1 11" xfId="879"/>
    <cellStyle name="Heading 1 12" xfId="920"/>
    <cellStyle name="Heading 1 13" xfId="1901"/>
    <cellStyle name="Heading 1 14" xfId="3947"/>
    <cellStyle name="Heading 1 15" xfId="3988"/>
    <cellStyle name="Heading 1 16" xfId="4029"/>
    <cellStyle name="Heading 1 17" xfId="4070"/>
    <cellStyle name="Heading 1 18" xfId="4111"/>
    <cellStyle name="Heading 1 19" xfId="4152"/>
    <cellStyle name="Heading 1 2" xfId="32"/>
    <cellStyle name="Heading 1 2 2" xfId="80"/>
    <cellStyle name="Heading 1 20" xfId="4193"/>
    <cellStyle name="Heading 1 21" xfId="4234"/>
    <cellStyle name="Heading 1 22" xfId="4275"/>
    <cellStyle name="Heading 1 23" xfId="4317"/>
    <cellStyle name="Heading 1 24" xfId="4358"/>
    <cellStyle name="Heading 1 25" xfId="4399"/>
    <cellStyle name="Heading 1 26" xfId="4440"/>
    <cellStyle name="Heading 1 27" xfId="4481"/>
    <cellStyle name="Heading 1 28" xfId="4522"/>
    <cellStyle name="Heading 1 29" xfId="4563"/>
    <cellStyle name="Heading 1 3" xfId="268"/>
    <cellStyle name="Heading 1 30" xfId="4605"/>
    <cellStyle name="Heading 1 31" xfId="4647"/>
    <cellStyle name="Heading 1 32" xfId="4688"/>
    <cellStyle name="Heading 1 33" xfId="4729"/>
    <cellStyle name="Heading 1 34" xfId="4770"/>
    <cellStyle name="Heading 1 35" xfId="4811"/>
    <cellStyle name="Heading 1 36" xfId="4852"/>
    <cellStyle name="Heading 1 4" xfId="309"/>
    <cellStyle name="Heading 1 5" xfId="350"/>
    <cellStyle name="Heading 1 6" xfId="391"/>
    <cellStyle name="Heading 1 7" xfId="432"/>
    <cellStyle name="Heading 1 8" xfId="473"/>
    <cellStyle name="Heading 1 9" xfId="514"/>
    <cellStyle name="Heading 2 10" xfId="556"/>
    <cellStyle name="Heading 2 11" xfId="880"/>
    <cellStyle name="Heading 2 12" xfId="921"/>
    <cellStyle name="Heading 2 13" xfId="1902"/>
    <cellStyle name="Heading 2 14" xfId="3948"/>
    <cellStyle name="Heading 2 15" xfId="3989"/>
    <cellStyle name="Heading 2 16" xfId="4030"/>
    <cellStyle name="Heading 2 17" xfId="4071"/>
    <cellStyle name="Heading 2 18" xfId="4112"/>
    <cellStyle name="Heading 2 19" xfId="4153"/>
    <cellStyle name="Heading 2 2" xfId="33"/>
    <cellStyle name="Heading 2 2 2" xfId="81"/>
    <cellStyle name="Heading 2 20" xfId="4194"/>
    <cellStyle name="Heading 2 21" xfId="4235"/>
    <cellStyle name="Heading 2 22" xfId="4276"/>
    <cellStyle name="Heading 2 23" xfId="4318"/>
    <cellStyle name="Heading 2 24" xfId="4359"/>
    <cellStyle name="Heading 2 25" xfId="4400"/>
    <cellStyle name="Heading 2 26" xfId="4441"/>
    <cellStyle name="Heading 2 27" xfId="4482"/>
    <cellStyle name="Heading 2 28" xfId="4523"/>
    <cellStyle name="Heading 2 29" xfId="4564"/>
    <cellStyle name="Heading 2 3" xfId="269"/>
    <cellStyle name="Heading 2 30" xfId="4606"/>
    <cellStyle name="Heading 2 31" xfId="4648"/>
    <cellStyle name="Heading 2 32" xfId="4689"/>
    <cellStyle name="Heading 2 33" xfId="4730"/>
    <cellStyle name="Heading 2 34" xfId="4771"/>
    <cellStyle name="Heading 2 35" xfId="4812"/>
    <cellStyle name="Heading 2 36" xfId="4853"/>
    <cellStyle name="Heading 2 4" xfId="310"/>
    <cellStyle name="Heading 2 5" xfId="351"/>
    <cellStyle name="Heading 2 6" xfId="392"/>
    <cellStyle name="Heading 2 7" xfId="433"/>
    <cellStyle name="Heading 2 8" xfId="474"/>
    <cellStyle name="Heading 2 9" xfId="515"/>
    <cellStyle name="Heading 3 10" xfId="557"/>
    <cellStyle name="Heading 3 11" xfId="881"/>
    <cellStyle name="Heading 3 12" xfId="922"/>
    <cellStyle name="Heading 3 13" xfId="1903"/>
    <cellStyle name="Heading 3 14" xfId="3949"/>
    <cellStyle name="Heading 3 15" xfId="3990"/>
    <cellStyle name="Heading 3 16" xfId="4031"/>
    <cellStyle name="Heading 3 17" xfId="4072"/>
    <cellStyle name="Heading 3 18" xfId="4113"/>
    <cellStyle name="Heading 3 19" xfId="4154"/>
    <cellStyle name="Heading 3 2" xfId="34"/>
    <cellStyle name="Heading 3 2 2" xfId="82"/>
    <cellStyle name="Heading 3 20" xfId="4195"/>
    <cellStyle name="Heading 3 21" xfId="4236"/>
    <cellStyle name="Heading 3 22" xfId="4277"/>
    <cellStyle name="Heading 3 23" xfId="4319"/>
    <cellStyle name="Heading 3 24" xfId="4360"/>
    <cellStyle name="Heading 3 25" xfId="4401"/>
    <cellStyle name="Heading 3 26" xfId="4442"/>
    <cellStyle name="Heading 3 27" xfId="4483"/>
    <cellStyle name="Heading 3 28" xfId="4524"/>
    <cellStyle name="Heading 3 29" xfId="4565"/>
    <cellStyle name="Heading 3 3" xfId="270"/>
    <cellStyle name="Heading 3 30" xfId="4607"/>
    <cellStyle name="Heading 3 31" xfId="4649"/>
    <cellStyle name="Heading 3 32" xfId="4690"/>
    <cellStyle name="Heading 3 33" xfId="4731"/>
    <cellStyle name="Heading 3 34" xfId="4772"/>
    <cellStyle name="Heading 3 35" xfId="4813"/>
    <cellStyle name="Heading 3 36" xfId="4854"/>
    <cellStyle name="Heading 3 4" xfId="311"/>
    <cellStyle name="Heading 3 5" xfId="352"/>
    <cellStyle name="Heading 3 6" xfId="393"/>
    <cellStyle name="Heading 3 7" xfId="434"/>
    <cellStyle name="Heading 3 8" xfId="475"/>
    <cellStyle name="Heading 3 9" xfId="516"/>
    <cellStyle name="Heading 4 10" xfId="558"/>
    <cellStyle name="Heading 4 11" xfId="882"/>
    <cellStyle name="Heading 4 12" xfId="923"/>
    <cellStyle name="Heading 4 13" xfId="1904"/>
    <cellStyle name="Heading 4 14" xfId="3950"/>
    <cellStyle name="Heading 4 15" xfId="3991"/>
    <cellStyle name="Heading 4 16" xfId="4032"/>
    <cellStyle name="Heading 4 17" xfId="4073"/>
    <cellStyle name="Heading 4 18" xfId="4114"/>
    <cellStyle name="Heading 4 19" xfId="4155"/>
    <cellStyle name="Heading 4 2" xfId="35"/>
    <cellStyle name="Heading 4 2 2" xfId="83"/>
    <cellStyle name="Heading 4 20" xfId="4196"/>
    <cellStyle name="Heading 4 21" xfId="4237"/>
    <cellStyle name="Heading 4 22" xfId="4278"/>
    <cellStyle name="Heading 4 23" xfId="4320"/>
    <cellStyle name="Heading 4 24" xfId="4361"/>
    <cellStyle name="Heading 4 25" xfId="4402"/>
    <cellStyle name="Heading 4 26" xfId="4443"/>
    <cellStyle name="Heading 4 27" xfId="4484"/>
    <cellStyle name="Heading 4 28" xfId="4525"/>
    <cellStyle name="Heading 4 29" xfId="4566"/>
    <cellStyle name="Heading 4 3" xfId="271"/>
    <cellStyle name="Heading 4 30" xfId="4608"/>
    <cellStyle name="Heading 4 31" xfId="4650"/>
    <cellStyle name="Heading 4 32" xfId="4691"/>
    <cellStyle name="Heading 4 33" xfId="4732"/>
    <cellStyle name="Heading 4 34" xfId="4773"/>
    <cellStyle name="Heading 4 35" xfId="4814"/>
    <cellStyle name="Heading 4 36" xfId="4855"/>
    <cellStyle name="Heading 4 4" xfId="312"/>
    <cellStyle name="Heading 4 5" xfId="353"/>
    <cellStyle name="Heading 4 6" xfId="394"/>
    <cellStyle name="Heading 4 7" xfId="435"/>
    <cellStyle name="Heading 4 8" xfId="476"/>
    <cellStyle name="Heading 4 9" xfId="517"/>
    <cellStyle name="Input 10" xfId="562"/>
    <cellStyle name="Input 11" xfId="886"/>
    <cellStyle name="Input 12" xfId="927"/>
    <cellStyle name="Input 13" xfId="1908"/>
    <cellStyle name="Input 14" xfId="3954"/>
    <cellStyle name="Input 15" xfId="3995"/>
    <cellStyle name="Input 16" xfId="4036"/>
    <cellStyle name="Input 17" xfId="4077"/>
    <cellStyle name="Input 18" xfId="4118"/>
    <cellStyle name="Input 19" xfId="4159"/>
    <cellStyle name="Input 2" xfId="36"/>
    <cellStyle name="Input 2 2" xfId="87"/>
    <cellStyle name="Input 20" xfId="4200"/>
    <cellStyle name="Input 21" xfId="4241"/>
    <cellStyle name="Input 22" xfId="4282"/>
    <cellStyle name="Input 23" xfId="4324"/>
    <cellStyle name="Input 24" xfId="4365"/>
    <cellStyle name="Input 25" xfId="4406"/>
    <cellStyle name="Input 26" xfId="4447"/>
    <cellStyle name="Input 27" xfId="4488"/>
    <cellStyle name="Input 28" xfId="4529"/>
    <cellStyle name="Input 29" xfId="4570"/>
    <cellStyle name="Input 3" xfId="275"/>
    <cellStyle name="Input 30" xfId="4612"/>
    <cellStyle name="Input 31" xfId="4654"/>
    <cellStyle name="Input 32" xfId="4695"/>
    <cellStyle name="Input 33" xfId="4736"/>
    <cellStyle name="Input 34" xfId="4777"/>
    <cellStyle name="Input 35" xfId="4818"/>
    <cellStyle name="Input 36" xfId="4859"/>
    <cellStyle name="Input 4" xfId="316"/>
    <cellStyle name="Input 5" xfId="357"/>
    <cellStyle name="Input 6" xfId="398"/>
    <cellStyle name="Input 7" xfId="439"/>
    <cellStyle name="Input 8" xfId="480"/>
    <cellStyle name="Input 9" xfId="521"/>
    <cellStyle name="Linked Cell 10" xfId="565"/>
    <cellStyle name="Linked Cell 11" xfId="889"/>
    <cellStyle name="Linked Cell 12" xfId="930"/>
    <cellStyle name="Linked Cell 13" xfId="1911"/>
    <cellStyle name="Linked Cell 14" xfId="3957"/>
    <cellStyle name="Linked Cell 15" xfId="3998"/>
    <cellStyle name="Linked Cell 16" xfId="4039"/>
    <cellStyle name="Linked Cell 17" xfId="4080"/>
    <cellStyle name="Linked Cell 18" xfId="4121"/>
    <cellStyle name="Linked Cell 19" xfId="4162"/>
    <cellStyle name="Linked Cell 2" xfId="37"/>
    <cellStyle name="Linked Cell 2 2" xfId="90"/>
    <cellStyle name="Linked Cell 20" xfId="4203"/>
    <cellStyle name="Linked Cell 21" xfId="4244"/>
    <cellStyle name="Linked Cell 22" xfId="4285"/>
    <cellStyle name="Linked Cell 23" xfId="4327"/>
    <cellStyle name="Linked Cell 24" xfId="4368"/>
    <cellStyle name="Linked Cell 25" xfId="4409"/>
    <cellStyle name="Linked Cell 26" xfId="4450"/>
    <cellStyle name="Linked Cell 27" xfId="4491"/>
    <cellStyle name="Linked Cell 28" xfId="4532"/>
    <cellStyle name="Linked Cell 29" xfId="4573"/>
    <cellStyle name="Linked Cell 3" xfId="278"/>
    <cellStyle name="Linked Cell 30" xfId="4615"/>
    <cellStyle name="Linked Cell 31" xfId="4657"/>
    <cellStyle name="Linked Cell 32" xfId="4698"/>
    <cellStyle name="Linked Cell 33" xfId="4739"/>
    <cellStyle name="Linked Cell 34" xfId="4780"/>
    <cellStyle name="Linked Cell 35" xfId="4821"/>
    <cellStyle name="Linked Cell 36" xfId="4862"/>
    <cellStyle name="Linked Cell 4" xfId="319"/>
    <cellStyle name="Linked Cell 5" xfId="360"/>
    <cellStyle name="Linked Cell 6" xfId="401"/>
    <cellStyle name="Linked Cell 7" xfId="442"/>
    <cellStyle name="Linked Cell 8" xfId="483"/>
    <cellStyle name="Linked Cell 9" xfId="524"/>
    <cellStyle name="Neutral 10" xfId="561"/>
    <cellStyle name="Neutral 11" xfId="885"/>
    <cellStyle name="Neutral 12" xfId="926"/>
    <cellStyle name="Neutral 13" xfId="1907"/>
    <cellStyle name="Neutral 14" xfId="3953"/>
    <cellStyle name="Neutral 15" xfId="3994"/>
    <cellStyle name="Neutral 16" xfId="4035"/>
    <cellStyle name="Neutral 17" xfId="4076"/>
    <cellStyle name="Neutral 18" xfId="4117"/>
    <cellStyle name="Neutral 19" xfId="4158"/>
    <cellStyle name="Neutral 2" xfId="38"/>
    <cellStyle name="Neutral 2 2" xfId="86"/>
    <cellStyle name="Neutral 20" xfId="4199"/>
    <cellStyle name="Neutral 21" xfId="4240"/>
    <cellStyle name="Neutral 22" xfId="4281"/>
    <cellStyle name="Neutral 23" xfId="4323"/>
    <cellStyle name="Neutral 24" xfId="4364"/>
    <cellStyle name="Neutral 25" xfId="4405"/>
    <cellStyle name="Neutral 26" xfId="4446"/>
    <cellStyle name="Neutral 27" xfId="4487"/>
    <cellStyle name="Neutral 28" xfId="4528"/>
    <cellStyle name="Neutral 29" xfId="4569"/>
    <cellStyle name="Neutral 3" xfId="274"/>
    <cellStyle name="Neutral 30" xfId="4611"/>
    <cellStyle name="Neutral 31" xfId="4653"/>
    <cellStyle name="Neutral 32" xfId="4694"/>
    <cellStyle name="Neutral 33" xfId="4735"/>
    <cellStyle name="Neutral 34" xfId="4776"/>
    <cellStyle name="Neutral 35" xfId="4817"/>
    <cellStyle name="Neutral 36" xfId="4858"/>
    <cellStyle name="Neutral 4" xfId="315"/>
    <cellStyle name="Neutral 5" xfId="356"/>
    <cellStyle name="Neutral 6" xfId="397"/>
    <cellStyle name="Neutral 7" xfId="438"/>
    <cellStyle name="Neutral 8" xfId="479"/>
    <cellStyle name="Neutral 9" xfId="520"/>
    <cellStyle name="Normal" xfId="0" builtinId="0"/>
    <cellStyle name="Normal 10" xfId="45"/>
    <cellStyle name="Normal 11" xfId="46"/>
    <cellStyle name="Normal 12" xfId="47"/>
    <cellStyle name="Normal 13" xfId="48"/>
    <cellStyle name="Normal 14" xfId="49"/>
    <cellStyle name="Normal 15" xfId="50"/>
    <cellStyle name="Normal 16" xfId="51"/>
    <cellStyle name="Normal 17" xfId="52"/>
    <cellStyle name="Normal 18" xfId="53"/>
    <cellStyle name="Normal 19" xfId="54"/>
    <cellStyle name="Normal 2" xfId="4893"/>
    <cellStyle name="Normal 2 2" xfId="44"/>
    <cellStyle name="Normal 20" xfId="55"/>
    <cellStyle name="Normal 21" xfId="75"/>
    <cellStyle name="Normal 22" xfId="73"/>
    <cellStyle name="Normal 23" xfId="56"/>
    <cellStyle name="Normal 24" xfId="57"/>
    <cellStyle name="Normal 25" xfId="58"/>
    <cellStyle name="Normal 26" xfId="59"/>
    <cellStyle name="Normal 27" xfId="60"/>
    <cellStyle name="Normal 28" xfId="61"/>
    <cellStyle name="Normal 29" xfId="62"/>
    <cellStyle name="Normal 3" xfId="63"/>
    <cellStyle name="Normal 30" xfId="64"/>
    <cellStyle name="Normal 31" xfId="76"/>
    <cellStyle name="Normal 32" xfId="78"/>
    <cellStyle name="Normal 33" xfId="120"/>
    <cellStyle name="Normal 33 10" xfId="3532"/>
    <cellStyle name="Normal 33 2" xfId="131"/>
    <cellStyle name="Normal 33 2 2" xfId="175"/>
    <cellStyle name="Normal 33 2 2 2" xfId="264"/>
    <cellStyle name="Normal 33 2 2 2 2" xfId="770"/>
    <cellStyle name="Normal 33 2 2 2 2 2" xfId="1715"/>
    <cellStyle name="Normal 33 2 2 2 2 3" xfId="2321"/>
    <cellStyle name="Normal 33 2 2 2 2 4" xfId="2875"/>
    <cellStyle name="Normal 33 2 2 2 2 5" xfId="3387"/>
    <cellStyle name="Normal 33 2 2 2 2 6" xfId="3811"/>
    <cellStyle name="Normal 33 2 2 2 3" xfId="1227"/>
    <cellStyle name="Normal 33 2 2 2 4" xfId="1444"/>
    <cellStyle name="Normal 33 2 2 2 5" xfId="1859"/>
    <cellStyle name="Normal 33 2 2 2 6" xfId="1875"/>
    <cellStyle name="Normal 33 2 2 2 7" xfId="1436"/>
    <cellStyle name="Normal 33 2 2 3" xfId="682"/>
    <cellStyle name="Normal 33 2 2 3 2" xfId="1627"/>
    <cellStyle name="Normal 33 2 2 3 3" xfId="2233"/>
    <cellStyle name="Normal 33 2 2 3 4" xfId="2787"/>
    <cellStyle name="Normal 33 2 2 3 5" xfId="3299"/>
    <cellStyle name="Normal 33 2 2 3 6" xfId="3723"/>
    <cellStyle name="Normal 33 2 2 4" xfId="1138"/>
    <cellStyle name="Normal 33 2 2 5" xfId="989"/>
    <cellStyle name="Normal 33 2 2 6" xfId="2113"/>
    <cellStyle name="Normal 33 2 2 7" xfId="2672"/>
    <cellStyle name="Normal 33 2 2 8" xfId="3189"/>
    <cellStyle name="Normal 33 2 3" xfId="220"/>
    <cellStyle name="Normal 33 2 3 2" xfId="726"/>
    <cellStyle name="Normal 33 2 3 2 2" xfId="1671"/>
    <cellStyle name="Normal 33 2 3 2 3" xfId="2277"/>
    <cellStyle name="Normal 33 2 3 2 4" xfId="2831"/>
    <cellStyle name="Normal 33 2 3 2 5" xfId="3343"/>
    <cellStyle name="Normal 33 2 3 2 6" xfId="3767"/>
    <cellStyle name="Normal 33 2 3 3" xfId="1183"/>
    <cellStyle name="Normal 33 2 3 4" xfId="1303"/>
    <cellStyle name="Normal 33 2 3 5" xfId="2040"/>
    <cellStyle name="Normal 33 2 3 6" xfId="2604"/>
    <cellStyle name="Normal 33 2 3 7" xfId="3131"/>
    <cellStyle name="Normal 33 2 4" xfId="638"/>
    <cellStyle name="Normal 33 2 4 2" xfId="1583"/>
    <cellStyle name="Normal 33 2 4 3" xfId="2189"/>
    <cellStyle name="Normal 33 2 4 4" xfId="2743"/>
    <cellStyle name="Normal 33 2 4 5" xfId="3255"/>
    <cellStyle name="Normal 33 2 4 6" xfId="3679"/>
    <cellStyle name="Normal 33 2 5" xfId="1094"/>
    <cellStyle name="Normal 33 2 6" xfId="1349"/>
    <cellStyle name="Normal 33 2 7" xfId="1049"/>
    <cellStyle name="Normal 33 2 8" xfId="1517"/>
    <cellStyle name="Normal 33 2 9" xfId="2485"/>
    <cellStyle name="Normal 33 3" xfId="153"/>
    <cellStyle name="Normal 33 3 2" xfId="242"/>
    <cellStyle name="Normal 33 3 2 2" xfId="748"/>
    <cellStyle name="Normal 33 3 2 2 2" xfId="1693"/>
    <cellStyle name="Normal 33 3 2 2 3" xfId="2299"/>
    <cellStyle name="Normal 33 3 2 2 4" xfId="2853"/>
    <cellStyle name="Normal 33 3 2 2 5" xfId="3365"/>
    <cellStyle name="Normal 33 3 2 2 6" xfId="3789"/>
    <cellStyle name="Normal 33 3 2 3" xfId="1205"/>
    <cellStyle name="Normal 33 3 2 4" xfId="1375"/>
    <cellStyle name="Normal 33 3 2 5" xfId="2465"/>
    <cellStyle name="Normal 33 3 2 6" xfId="3016"/>
    <cellStyle name="Normal 33 3 2 7" xfId="3523"/>
    <cellStyle name="Normal 33 3 3" xfId="660"/>
    <cellStyle name="Normal 33 3 3 2" xfId="1605"/>
    <cellStyle name="Normal 33 3 3 3" xfId="2211"/>
    <cellStyle name="Normal 33 3 3 4" xfId="2765"/>
    <cellStyle name="Normal 33 3 3 5" xfId="3277"/>
    <cellStyle name="Normal 33 3 3 6" xfId="3701"/>
    <cellStyle name="Normal 33 3 4" xfId="1116"/>
    <cellStyle name="Normal 33 3 5" xfId="1431"/>
    <cellStyle name="Normal 33 3 6" xfId="1996"/>
    <cellStyle name="Normal 33 3 7" xfId="2562"/>
    <cellStyle name="Normal 33 3 8" xfId="3098"/>
    <cellStyle name="Normal 33 4" xfId="198"/>
    <cellStyle name="Normal 33 4 2" xfId="704"/>
    <cellStyle name="Normal 33 4 2 2" xfId="1649"/>
    <cellStyle name="Normal 33 4 2 3" xfId="2255"/>
    <cellStyle name="Normal 33 4 2 4" xfId="2809"/>
    <cellStyle name="Normal 33 4 2 5" xfId="3321"/>
    <cellStyle name="Normal 33 4 2 6" xfId="3745"/>
    <cellStyle name="Normal 33 4 3" xfId="1161"/>
    <cellStyle name="Normal 33 4 4" xfId="1040"/>
    <cellStyle name="Normal 33 4 5" xfId="1851"/>
    <cellStyle name="Normal 33 4 6" xfId="2468"/>
    <cellStyle name="Normal 33 4 7" xfId="3019"/>
    <cellStyle name="Normal 33 5" xfId="616"/>
    <cellStyle name="Normal 33 5 2" xfId="1561"/>
    <cellStyle name="Normal 33 5 3" xfId="2167"/>
    <cellStyle name="Normal 33 5 4" xfId="2721"/>
    <cellStyle name="Normal 33 5 5" xfId="3233"/>
    <cellStyle name="Normal 33 5 6" xfId="3657"/>
    <cellStyle name="Normal 33 6" xfId="1071"/>
    <cellStyle name="Normal 33 7" xfId="1311"/>
    <cellStyle name="Normal 33 8" xfId="2477"/>
    <cellStyle name="Normal 33 9" xfId="3027"/>
    <cellStyle name="Normal 34" xfId="121"/>
    <cellStyle name="Normal 34 10" xfId="3502"/>
    <cellStyle name="Normal 34 2" xfId="132"/>
    <cellStyle name="Normal 34 2 2" xfId="176"/>
    <cellStyle name="Normal 34 2 2 2" xfId="265"/>
    <cellStyle name="Normal 34 2 2 2 2" xfId="771"/>
    <cellStyle name="Normal 34 2 2 2 2 2" xfId="1716"/>
    <cellStyle name="Normal 34 2 2 2 2 3" xfId="2322"/>
    <cellStyle name="Normal 34 2 2 2 2 4" xfId="2876"/>
    <cellStyle name="Normal 34 2 2 2 2 5" xfId="3388"/>
    <cellStyle name="Normal 34 2 2 2 2 6" xfId="3812"/>
    <cellStyle name="Normal 34 2 2 2 3" xfId="1228"/>
    <cellStyle name="Normal 34 2 2 2 4" xfId="1407"/>
    <cellStyle name="Normal 34 2 2 2 5" xfId="1395"/>
    <cellStyle name="Normal 34 2 2 2 6" xfId="2518"/>
    <cellStyle name="Normal 34 2 2 2 7" xfId="3063"/>
    <cellStyle name="Normal 34 2 2 3" xfId="683"/>
    <cellStyle name="Normal 34 2 2 3 2" xfId="1628"/>
    <cellStyle name="Normal 34 2 2 3 3" xfId="2234"/>
    <cellStyle name="Normal 34 2 2 3 4" xfId="2788"/>
    <cellStyle name="Normal 34 2 2 3 5" xfId="3300"/>
    <cellStyle name="Normal 34 2 2 3 6" xfId="3724"/>
    <cellStyle name="Normal 34 2 2 4" xfId="1139"/>
    <cellStyle name="Normal 34 2 2 5" xfId="988"/>
    <cellStyle name="Normal 34 2 2 6" xfId="1860"/>
    <cellStyle name="Normal 34 2 2 7" xfId="1327"/>
    <cellStyle name="Normal 34 2 2 8" xfId="2496"/>
    <cellStyle name="Normal 34 2 3" xfId="221"/>
    <cellStyle name="Normal 34 2 3 2" xfId="727"/>
    <cellStyle name="Normal 34 2 3 2 2" xfId="1672"/>
    <cellStyle name="Normal 34 2 3 2 3" xfId="2278"/>
    <cellStyle name="Normal 34 2 3 2 4" xfId="2832"/>
    <cellStyle name="Normal 34 2 3 2 5" xfId="3344"/>
    <cellStyle name="Normal 34 2 3 2 6" xfId="3768"/>
    <cellStyle name="Normal 34 2 3 3" xfId="1184"/>
    <cellStyle name="Normal 34 2 3 4" xfId="1265"/>
    <cellStyle name="Normal 34 2 3 5" xfId="2001"/>
    <cellStyle name="Normal 34 2 3 6" xfId="2567"/>
    <cellStyle name="Normal 34 2 3 7" xfId="3103"/>
    <cellStyle name="Normal 34 2 4" xfId="639"/>
    <cellStyle name="Normal 34 2 4 2" xfId="1584"/>
    <cellStyle name="Normal 34 2 4 3" xfId="2190"/>
    <cellStyle name="Normal 34 2 4 4" xfId="2744"/>
    <cellStyle name="Normal 34 2 4 5" xfId="3256"/>
    <cellStyle name="Normal 34 2 4 6" xfId="3680"/>
    <cellStyle name="Normal 34 2 5" xfId="1095"/>
    <cellStyle name="Normal 34 2 6" xfId="1309"/>
    <cellStyle name="Normal 34 2 7" xfId="1433"/>
    <cellStyle name="Normal 34 2 8" xfId="1021"/>
    <cellStyle name="Normal 34 2 9" xfId="2438"/>
    <cellStyle name="Normal 34 3" xfId="154"/>
    <cellStyle name="Normal 34 3 2" xfId="243"/>
    <cellStyle name="Normal 34 3 2 2" xfId="749"/>
    <cellStyle name="Normal 34 3 2 2 2" xfId="1694"/>
    <cellStyle name="Normal 34 3 2 2 3" xfId="2300"/>
    <cellStyle name="Normal 34 3 2 2 4" xfId="2854"/>
    <cellStyle name="Normal 34 3 2 2 5" xfId="3366"/>
    <cellStyle name="Normal 34 3 2 2 6" xfId="3790"/>
    <cellStyle name="Normal 34 3 2 3" xfId="1206"/>
    <cellStyle name="Normal 34 3 2 4" xfId="1335"/>
    <cellStyle name="Normal 34 3 2 5" xfId="2144"/>
    <cellStyle name="Normal 34 3 2 6" xfId="2698"/>
    <cellStyle name="Normal 34 3 2 7" xfId="3210"/>
    <cellStyle name="Normal 34 3 3" xfId="661"/>
    <cellStyle name="Normal 34 3 3 2" xfId="1606"/>
    <cellStyle name="Normal 34 3 3 3" xfId="2212"/>
    <cellStyle name="Normal 34 3 3 4" xfId="2766"/>
    <cellStyle name="Normal 34 3 3 5" xfId="3278"/>
    <cellStyle name="Normal 34 3 3 6" xfId="3702"/>
    <cellStyle name="Normal 34 3 4" xfId="1117"/>
    <cellStyle name="Normal 34 3 5" xfId="1392"/>
    <cellStyle name="Normal 34 3 6" xfId="1960"/>
    <cellStyle name="Normal 34 3 7" xfId="1002"/>
    <cellStyle name="Normal 34 3 8" xfId="2121"/>
    <cellStyle name="Normal 34 4" xfId="199"/>
    <cellStyle name="Normal 34 4 2" xfId="705"/>
    <cellStyle name="Normal 34 4 2 2" xfId="1650"/>
    <cellStyle name="Normal 34 4 2 3" xfId="2256"/>
    <cellStyle name="Normal 34 4 2 4" xfId="2810"/>
    <cellStyle name="Normal 34 4 2 5" xfId="3322"/>
    <cellStyle name="Normal 34 4 2 6" xfId="3746"/>
    <cellStyle name="Normal 34 4 3" xfId="1162"/>
    <cellStyle name="Normal 34 4 4" xfId="1869"/>
    <cellStyle name="Normal 34 4 5" xfId="1323"/>
    <cellStyle name="Normal 34 4 6" xfId="2529"/>
    <cellStyle name="Normal 34 4 7" xfId="3070"/>
    <cellStyle name="Normal 34 5" xfId="617"/>
    <cellStyle name="Normal 34 5 2" xfId="1562"/>
    <cellStyle name="Normal 34 5 3" xfId="2168"/>
    <cellStyle name="Normal 34 5 4" xfId="2722"/>
    <cellStyle name="Normal 34 5 5" xfId="3234"/>
    <cellStyle name="Normal 34 5 6" xfId="3658"/>
    <cellStyle name="Normal 34 6" xfId="1072"/>
    <cellStyle name="Normal 34 7" xfId="1273"/>
    <cellStyle name="Normal 34 8" xfId="2437"/>
    <cellStyle name="Normal 34 9" xfId="2991"/>
    <cellStyle name="Normal 35" xfId="122"/>
    <cellStyle name="Normal 35 10" xfId="3192"/>
    <cellStyle name="Normal 35 2" xfId="133"/>
    <cellStyle name="Normal 35 2 2" xfId="177"/>
    <cellStyle name="Normal 35 2 2 2" xfId="266"/>
    <cellStyle name="Normal 35 2 2 2 2" xfId="772"/>
    <cellStyle name="Normal 35 2 2 2 2 2" xfId="1717"/>
    <cellStyle name="Normal 35 2 2 2 2 3" xfId="2323"/>
    <cellStyle name="Normal 35 2 2 2 2 4" xfId="2877"/>
    <cellStyle name="Normal 35 2 2 2 2 5" xfId="3389"/>
    <cellStyle name="Normal 35 2 2 2 2 6" xfId="3813"/>
    <cellStyle name="Normal 35 2 2 2 3" xfId="1229"/>
    <cellStyle name="Normal 35 2 2 2 4" xfId="1367"/>
    <cellStyle name="Normal 35 2 2 2 5" xfId="2532"/>
    <cellStyle name="Normal 35 2 2 2 6" xfId="3073"/>
    <cellStyle name="Normal 35 2 2 2 7" xfId="3569"/>
    <cellStyle name="Normal 35 2 2 3" xfId="684"/>
    <cellStyle name="Normal 35 2 2 3 2" xfId="1629"/>
    <cellStyle name="Normal 35 2 2 3 3" xfId="2235"/>
    <cellStyle name="Normal 35 2 2 3 4" xfId="2789"/>
    <cellStyle name="Normal 35 2 2 3 5" xfId="3301"/>
    <cellStyle name="Normal 35 2 2 3 6" xfId="3725"/>
    <cellStyle name="Normal 35 2 2 4" xfId="1140"/>
    <cellStyle name="Normal 35 2 2 5" xfId="987"/>
    <cellStyle name="Normal 35 2 2 6" xfId="2085"/>
    <cellStyle name="Normal 35 2 2 7" xfId="2646"/>
    <cellStyle name="Normal 35 2 2 8" xfId="3167"/>
    <cellStyle name="Normal 35 2 3" xfId="222"/>
    <cellStyle name="Normal 35 2 3 2" xfId="728"/>
    <cellStyle name="Normal 35 2 3 2 2" xfId="1673"/>
    <cellStyle name="Normal 35 2 3 2 3" xfId="2279"/>
    <cellStyle name="Normal 35 2 3 2 4" xfId="2833"/>
    <cellStyle name="Normal 35 2 3 2 5" xfId="3345"/>
    <cellStyle name="Normal 35 2 3 2 6" xfId="3769"/>
    <cellStyle name="Normal 35 2 3 3" xfId="1185"/>
    <cellStyle name="Normal 35 2 3 4" xfId="1065"/>
    <cellStyle name="Normal 35 2 3 5" xfId="1965"/>
    <cellStyle name="Normal 35 2 3 6" xfId="2527"/>
    <cellStyle name="Normal 35 2 3 7" xfId="3069"/>
    <cellStyle name="Normal 35 2 4" xfId="640"/>
    <cellStyle name="Normal 35 2 4 2" xfId="1585"/>
    <cellStyle name="Normal 35 2 4 3" xfId="2191"/>
    <cellStyle name="Normal 35 2 4 4" xfId="2745"/>
    <cellStyle name="Normal 35 2 4 5" xfId="3257"/>
    <cellStyle name="Normal 35 2 4 6" xfId="3681"/>
    <cellStyle name="Normal 35 2 5" xfId="1096"/>
    <cellStyle name="Normal 35 2 6" xfId="1271"/>
    <cellStyle name="Normal 35 2 7" xfId="2511"/>
    <cellStyle name="Normal 35 2 8" xfId="3057"/>
    <cellStyle name="Normal 35 2 9" xfId="3558"/>
    <cellStyle name="Normal 35 3" xfId="155"/>
    <cellStyle name="Normal 35 3 2" xfId="244"/>
    <cellStyle name="Normal 35 3 2 2" xfId="750"/>
    <cellStyle name="Normal 35 3 2 2 2" xfId="1695"/>
    <cellStyle name="Normal 35 3 2 2 3" xfId="2301"/>
    <cellStyle name="Normal 35 3 2 2 4" xfId="2855"/>
    <cellStyle name="Normal 35 3 2 2 5" xfId="3367"/>
    <cellStyle name="Normal 35 3 2 2 6" xfId="3791"/>
    <cellStyle name="Normal 35 3 2 3" xfId="1207"/>
    <cellStyle name="Normal 35 3 2 4" xfId="1295"/>
    <cellStyle name="Normal 35 3 2 5" xfId="1464"/>
    <cellStyle name="Normal 35 3 2 6" xfId="2124"/>
    <cellStyle name="Normal 35 3 2 7" xfId="2681"/>
    <cellStyle name="Normal 35 3 3" xfId="662"/>
    <cellStyle name="Normal 35 3 3 2" xfId="1607"/>
    <cellStyle name="Normal 35 3 3 3" xfId="2213"/>
    <cellStyle name="Normal 35 3 3 4" xfId="2767"/>
    <cellStyle name="Normal 35 3 3 5" xfId="3279"/>
    <cellStyle name="Normal 35 3 3 6" xfId="3703"/>
    <cellStyle name="Normal 35 3 4" xfId="1118"/>
    <cellStyle name="Normal 35 3 5" xfId="1352"/>
    <cellStyle name="Normal 35 3 6" xfId="1366"/>
    <cellStyle name="Normal 35 3 7" xfId="2058"/>
    <cellStyle name="Normal 35 3 8" xfId="2622"/>
    <cellStyle name="Normal 35 4" xfId="200"/>
    <cellStyle name="Normal 35 4 2" xfId="706"/>
    <cellStyle name="Normal 35 4 2 2" xfId="1651"/>
    <cellStyle name="Normal 35 4 2 3" xfId="2257"/>
    <cellStyle name="Normal 35 4 2 4" xfId="2811"/>
    <cellStyle name="Normal 35 4 2 5" xfId="3323"/>
    <cellStyle name="Normal 35 4 2 6" xfId="3747"/>
    <cellStyle name="Normal 35 4 3" xfId="1163"/>
    <cellStyle name="Normal 35 4 4" xfId="1831"/>
    <cellStyle name="Normal 35 4 5" xfId="1508"/>
    <cellStyle name="Normal 35 4 6" xfId="1338"/>
    <cellStyle name="Normal 35 4 7" xfId="1443"/>
    <cellStyle name="Normal 35 5" xfId="618"/>
    <cellStyle name="Normal 35 5 2" xfId="1563"/>
    <cellStyle name="Normal 35 5 3" xfId="2169"/>
    <cellStyle name="Normal 35 5 4" xfId="2723"/>
    <cellStyle name="Normal 35 5 5" xfId="3235"/>
    <cellStyle name="Normal 35 5 6" xfId="3659"/>
    <cellStyle name="Normal 35 6" xfId="1073"/>
    <cellStyle name="Normal 35 7" xfId="1234"/>
    <cellStyle name="Normal 35 8" xfId="2116"/>
    <cellStyle name="Normal 35 9" xfId="2675"/>
    <cellStyle name="Normal 36" xfId="123"/>
    <cellStyle name="Normal 37" xfId="178"/>
    <cellStyle name="Normal 38" xfId="595"/>
    <cellStyle name="Normal 38 2" xfId="1540"/>
    <cellStyle name="Normal 38 3" xfId="2147"/>
    <cellStyle name="Normal 38 4" xfId="2701"/>
    <cellStyle name="Normal 38 5" xfId="3213"/>
    <cellStyle name="Normal 38 6" xfId="3637"/>
    <cellStyle name="Normal 39" xfId="596"/>
    <cellStyle name="Normal 4" xfId="65"/>
    <cellStyle name="Normal 40" xfId="877"/>
    <cellStyle name="Normal 40 2" xfId="1822"/>
    <cellStyle name="Normal 40 3" xfId="2428"/>
    <cellStyle name="Normal 40 4" xfId="2982"/>
    <cellStyle name="Normal 40 5" xfId="3494"/>
    <cellStyle name="Normal 40 6" xfId="3918"/>
    <cellStyle name="Normal 41" xfId="960"/>
    <cellStyle name="Normal 42" xfId="3945"/>
    <cellStyle name="Normal 43" xfId="2083"/>
    <cellStyle name="Normal 44" xfId="2644"/>
    <cellStyle name="Normal 45" xfId="3165"/>
    <cellStyle name="Normal 5" xfId="66"/>
    <cellStyle name="Normal 50" xfId="4315"/>
    <cellStyle name="Normal 53" xfId="4603"/>
    <cellStyle name="Normal 54" xfId="4645"/>
    <cellStyle name="Normal 6" xfId="67"/>
    <cellStyle name="Normal 7" xfId="68"/>
    <cellStyle name="Normal 8" xfId="69"/>
    <cellStyle name="Normal 9" xfId="70"/>
    <cellStyle name="Note 10" xfId="527"/>
    <cellStyle name="Note 10 2" xfId="851"/>
    <cellStyle name="Note 10 2 2" xfId="1796"/>
    <cellStyle name="Note 10 2 3" xfId="2402"/>
    <cellStyle name="Note 10 2 4" xfId="2956"/>
    <cellStyle name="Note 10 2 5" xfId="3468"/>
    <cellStyle name="Note 10 2 6" xfId="3892"/>
    <cellStyle name="Note 10 3" xfId="1476"/>
    <cellStyle name="Note 10 4" xfId="2084"/>
    <cellStyle name="Note 10 5" xfId="2645"/>
    <cellStyle name="Note 10 6" xfId="3166"/>
    <cellStyle name="Note 10 7" xfId="3611"/>
    <cellStyle name="Note 11" xfId="568"/>
    <cellStyle name="Note 11 2" xfId="864"/>
    <cellStyle name="Note 11 2 2" xfId="1809"/>
    <cellStyle name="Note 11 2 3" xfId="2415"/>
    <cellStyle name="Note 11 2 4" xfId="2969"/>
    <cellStyle name="Note 11 2 5" xfId="3481"/>
    <cellStyle name="Note 11 2 6" xfId="3905"/>
    <cellStyle name="Note 11 3" xfId="1515"/>
    <cellStyle name="Note 11 4" xfId="2122"/>
    <cellStyle name="Note 11 5" xfId="2679"/>
    <cellStyle name="Note 11 6" xfId="3195"/>
    <cellStyle name="Note 11 7" xfId="3624"/>
    <cellStyle name="Note 12" xfId="892"/>
    <cellStyle name="Note 12 2" xfId="1835"/>
    <cellStyle name="Note 12 3" xfId="2443"/>
    <cellStyle name="Note 12 4" xfId="2995"/>
    <cellStyle name="Note 12 5" xfId="3506"/>
    <cellStyle name="Note 12 6" xfId="3919"/>
    <cellStyle name="Note 13" xfId="933"/>
    <cellStyle name="Note 13 2" xfId="1873"/>
    <cellStyle name="Note 13 3" xfId="2483"/>
    <cellStyle name="Note 13 4" xfId="3031"/>
    <cellStyle name="Note 13 5" xfId="3536"/>
    <cellStyle name="Note 13 6" xfId="3932"/>
    <cellStyle name="Note 14" xfId="1914"/>
    <cellStyle name="Note 15" xfId="3960"/>
    <cellStyle name="Note 16" xfId="4001"/>
    <cellStyle name="Note 17" xfId="4042"/>
    <cellStyle name="Note 18" xfId="4083"/>
    <cellStyle name="Note 19" xfId="4124"/>
    <cellStyle name="Note 2" xfId="39"/>
    <cellStyle name="Note 2 10" xfId="1013"/>
    <cellStyle name="Note 2 11" xfId="1014"/>
    <cellStyle name="Note 2 2" xfId="71"/>
    <cellStyle name="Note 2 2 10" xfId="3562"/>
    <cellStyle name="Note 2 2 2" xfId="130"/>
    <cellStyle name="Note 2 2 2 2" xfId="174"/>
    <cellStyle name="Note 2 2 2 2 2" xfId="263"/>
    <cellStyle name="Note 2 2 2 2 2 2" xfId="769"/>
    <cellStyle name="Note 2 2 2 2 2 2 2" xfId="1714"/>
    <cellStyle name="Note 2 2 2 2 2 2 3" xfId="2320"/>
    <cellStyle name="Note 2 2 2 2 2 2 4" xfId="2874"/>
    <cellStyle name="Note 2 2 2 2 2 2 5" xfId="3386"/>
    <cellStyle name="Note 2 2 2 2 2 2 6" xfId="3810"/>
    <cellStyle name="Note 2 2 2 2 2 3" xfId="1226"/>
    <cellStyle name="Note 2 2 2 2 2 4" xfId="1482"/>
    <cellStyle name="Note 2 2 2 2 2 5" xfId="1410"/>
    <cellStyle name="Note 2 2 2 2 2 6" xfId="2062"/>
    <cellStyle name="Note 2 2 2 2 2 7" xfId="2626"/>
    <cellStyle name="Note 2 2 2 2 3" xfId="681"/>
    <cellStyle name="Note 2 2 2 2 3 2" xfId="1626"/>
    <cellStyle name="Note 2 2 2 2 3 3" xfId="2232"/>
    <cellStyle name="Note 2 2 2 2 3 4" xfId="2786"/>
    <cellStyle name="Note 2 2 2 2 3 5" xfId="3298"/>
    <cellStyle name="Note 2 2 2 2 3 6" xfId="3722"/>
    <cellStyle name="Note 2 2 2 2 4" xfId="1137"/>
    <cellStyle name="Note 2 2 2 2 5" xfId="1516"/>
    <cellStyle name="Note 2 2 2 2 6" xfId="2434"/>
    <cellStyle name="Note 2 2 2 2 7" xfId="2988"/>
    <cellStyle name="Note 2 2 2 2 8" xfId="3499"/>
    <cellStyle name="Note 2 2 2 3" xfId="219"/>
    <cellStyle name="Note 2 2 2 3 2" xfId="725"/>
    <cellStyle name="Note 2 2 2 3 2 2" xfId="1670"/>
    <cellStyle name="Note 2 2 2 3 2 3" xfId="2276"/>
    <cellStyle name="Note 2 2 2 3 2 4" xfId="2830"/>
    <cellStyle name="Note 2 2 2 3 2 5" xfId="3342"/>
    <cellStyle name="Note 2 2 2 3 2 6" xfId="3766"/>
    <cellStyle name="Note 2 2 2 3 3" xfId="1182"/>
    <cellStyle name="Note 2 2 2 3 4" xfId="1343"/>
    <cellStyle name="Note 2 2 2 3 5" xfId="2077"/>
    <cellStyle name="Note 2 2 2 3 6" xfId="2640"/>
    <cellStyle name="Note 2 2 2 3 7" xfId="3161"/>
    <cellStyle name="Note 2 2 2 4" xfId="637"/>
    <cellStyle name="Note 2 2 2 4 2" xfId="1582"/>
    <cellStyle name="Note 2 2 2 4 3" xfId="2188"/>
    <cellStyle name="Note 2 2 2 4 4" xfId="2742"/>
    <cellStyle name="Note 2 2 2 4 5" xfId="3254"/>
    <cellStyle name="Note 2 2 2 4 6" xfId="3678"/>
    <cellStyle name="Note 2 2 2 5" xfId="1093"/>
    <cellStyle name="Note 2 2 2 6" xfId="1389"/>
    <cellStyle name="Note 2 2 2 7" xfId="1493"/>
    <cellStyle name="Note 2 2 2 8" xfId="2070"/>
    <cellStyle name="Note 2 2 2 9" xfId="2633"/>
    <cellStyle name="Note 2 2 3" xfId="152"/>
    <cellStyle name="Note 2 2 3 2" xfId="241"/>
    <cellStyle name="Note 2 2 3 2 2" xfId="747"/>
    <cellStyle name="Note 2 2 3 2 2 2" xfId="1692"/>
    <cellStyle name="Note 2 2 3 2 2 3" xfId="2298"/>
    <cellStyle name="Note 2 2 3 2 2 4" xfId="2852"/>
    <cellStyle name="Note 2 2 3 2 2 5" xfId="3364"/>
    <cellStyle name="Note 2 2 3 2 2 6" xfId="3788"/>
    <cellStyle name="Note 2 2 3 2 3" xfId="1204"/>
    <cellStyle name="Note 2 2 3 2 4" xfId="1415"/>
    <cellStyle name="Note 2 2 3 2 5" xfId="2504"/>
    <cellStyle name="Note 2 2 3 2 6" xfId="3050"/>
    <cellStyle name="Note 2 2 3 2 7" xfId="3553"/>
    <cellStyle name="Note 2 2 3 3" xfId="659"/>
    <cellStyle name="Note 2 2 3 3 2" xfId="1604"/>
    <cellStyle name="Note 2 2 3 3 3" xfId="2210"/>
    <cellStyle name="Note 2 2 3 3 4" xfId="2764"/>
    <cellStyle name="Note 2 2 3 3 5" xfId="3276"/>
    <cellStyle name="Note 2 2 3 3 6" xfId="3700"/>
    <cellStyle name="Note 2 2 3 4" xfId="1115"/>
    <cellStyle name="Note 2 2 3 5" xfId="1469"/>
    <cellStyle name="Note 2 2 3 6" xfId="2035"/>
    <cellStyle name="Note 2 2 3 7" xfId="2599"/>
    <cellStyle name="Note 2 2 3 8" xfId="3126"/>
    <cellStyle name="Note 2 2 4" xfId="197"/>
    <cellStyle name="Note 2 2 4 2" xfId="703"/>
    <cellStyle name="Note 2 2 4 2 2" xfId="1648"/>
    <cellStyle name="Note 2 2 4 2 3" xfId="2254"/>
    <cellStyle name="Note 2 2 4 2 4" xfId="2808"/>
    <cellStyle name="Note 2 2 4 2 5" xfId="3320"/>
    <cellStyle name="Note 2 2 4 2 6" xfId="3744"/>
    <cellStyle name="Note 2 2 4 3" xfId="1160"/>
    <cellStyle name="Note 2 2 4 4" xfId="1240"/>
    <cellStyle name="Note 2 2 4 5" xfId="970"/>
    <cellStyle name="Note 2 2 4 6" xfId="1362"/>
    <cellStyle name="Note 2 2 4 7" xfId="2009"/>
    <cellStyle name="Note 2 2 5" xfId="615"/>
    <cellStyle name="Note 2 2 5 2" xfId="1560"/>
    <cellStyle name="Note 2 2 5 3" xfId="2166"/>
    <cellStyle name="Note 2 2 5 4" xfId="2720"/>
    <cellStyle name="Note 2 2 5 5" xfId="3232"/>
    <cellStyle name="Note 2 2 5 6" xfId="3656"/>
    <cellStyle name="Note 2 2 6" xfId="1070"/>
    <cellStyle name="Note 2 2 7" xfId="1351"/>
    <cellStyle name="Note 2 2 8" xfId="2515"/>
    <cellStyle name="Note 2 2 9" xfId="3061"/>
    <cellStyle name="Note 2 3" xfId="124"/>
    <cellStyle name="Note 2 3 2" xfId="156"/>
    <cellStyle name="Note 2 3 2 2" xfId="245"/>
    <cellStyle name="Note 2 3 2 2 2" xfId="751"/>
    <cellStyle name="Note 2 3 2 2 2 2" xfId="1696"/>
    <cellStyle name="Note 2 3 2 2 2 3" xfId="2302"/>
    <cellStyle name="Note 2 3 2 2 2 4" xfId="2856"/>
    <cellStyle name="Note 2 3 2 2 2 5" xfId="3368"/>
    <cellStyle name="Note 2 3 2 2 2 6" xfId="3792"/>
    <cellStyle name="Note 2 3 2 2 3" xfId="1208"/>
    <cellStyle name="Note 2 3 2 2 4" xfId="1258"/>
    <cellStyle name="Note 2 3 2 2 5" xfId="2101"/>
    <cellStyle name="Note 2 3 2 2 6" xfId="2660"/>
    <cellStyle name="Note 2 3 2 2 7" xfId="3179"/>
    <cellStyle name="Note 2 3 2 3" xfId="663"/>
    <cellStyle name="Note 2 3 2 3 2" xfId="1608"/>
    <cellStyle name="Note 2 3 2 3 3" xfId="2214"/>
    <cellStyle name="Note 2 3 2 3 4" xfId="2768"/>
    <cellStyle name="Note 2 3 2 3 5" xfId="3280"/>
    <cellStyle name="Note 2 3 2 3 6" xfId="3704"/>
    <cellStyle name="Note 2 3 2 4" xfId="1119"/>
    <cellStyle name="Note 2 3 2 5" xfId="1312"/>
    <cellStyle name="Note 2 3 2 6" xfId="1535"/>
    <cellStyle name="Note 2 3 2 7" xfId="1044"/>
    <cellStyle name="Note 2 3 2 8" xfId="1876"/>
    <cellStyle name="Note 2 3 3" xfId="201"/>
    <cellStyle name="Note 2 3 3 2" xfId="707"/>
    <cellStyle name="Note 2 3 3 2 2" xfId="1652"/>
    <cellStyle name="Note 2 3 3 2 3" xfId="2258"/>
    <cellStyle name="Note 2 3 3 2 4" xfId="2812"/>
    <cellStyle name="Note 2 3 3 2 5" xfId="3324"/>
    <cellStyle name="Note 2 3 3 2 6" xfId="3748"/>
    <cellStyle name="Note 2 3 3 3" xfId="1164"/>
    <cellStyle name="Note 2 3 3 4" xfId="1511"/>
    <cellStyle name="Note 2 3 3 5" xfId="2519"/>
    <cellStyle name="Note 2 3 3 6" xfId="3064"/>
    <cellStyle name="Note 2 3 3 7" xfId="3564"/>
    <cellStyle name="Note 2 3 4" xfId="619"/>
    <cellStyle name="Note 2 3 4 2" xfId="1564"/>
    <cellStyle name="Note 2 3 4 3" xfId="2170"/>
    <cellStyle name="Note 2 3 4 4" xfId="2724"/>
    <cellStyle name="Note 2 3 4 5" xfId="3236"/>
    <cellStyle name="Note 2 3 4 6" xfId="3660"/>
    <cellStyle name="Note 2 3 5" xfId="1075"/>
    <cellStyle name="Note 2 3 6" xfId="1864"/>
    <cellStyle name="Note 2 3 7" xfId="2075"/>
    <cellStyle name="Note 2 3 8" xfId="2638"/>
    <cellStyle name="Note 2 3 9" xfId="3159"/>
    <cellStyle name="Note 2 4" xfId="134"/>
    <cellStyle name="Note 2 4 2" xfId="223"/>
    <cellStyle name="Note 2 4 2 2" xfId="729"/>
    <cellStyle name="Note 2 4 2 2 2" xfId="1674"/>
    <cellStyle name="Note 2 4 2 2 3" xfId="2280"/>
    <cellStyle name="Note 2 4 2 2 4" xfId="2834"/>
    <cellStyle name="Note 2 4 2 2 5" xfId="3346"/>
    <cellStyle name="Note 2 4 2 2 6" xfId="3770"/>
    <cellStyle name="Note 2 4 2 3" xfId="1186"/>
    <cellStyle name="Note 2 4 2 4" xfId="1896"/>
    <cellStyle name="Note 2 4 2 5" xfId="1879"/>
    <cellStyle name="Note 2 4 2 6" xfId="1899"/>
    <cellStyle name="Note 2 4 2 7" xfId="2129"/>
    <cellStyle name="Note 2 4 3" xfId="641"/>
    <cellStyle name="Note 2 4 3 2" xfId="1586"/>
    <cellStyle name="Note 2 4 3 3" xfId="2192"/>
    <cellStyle name="Note 2 4 3 4" xfId="2746"/>
    <cellStyle name="Note 2 4 3 5" xfId="3258"/>
    <cellStyle name="Note 2 4 3 6" xfId="3682"/>
    <cellStyle name="Note 2 4 4" xfId="1097"/>
    <cellStyle name="Note 2 4 5" xfId="1232"/>
    <cellStyle name="Note 2 4 6" xfId="2472"/>
    <cellStyle name="Note 2 4 7" xfId="3023"/>
    <cellStyle name="Note 2 4 8" xfId="3528"/>
    <cellStyle name="Note 2 5" xfId="179"/>
    <cellStyle name="Note 2 5 2" xfId="685"/>
    <cellStyle name="Note 2 5 2 2" xfId="1630"/>
    <cellStyle name="Note 2 5 2 3" xfId="2236"/>
    <cellStyle name="Note 2 5 2 4" xfId="2790"/>
    <cellStyle name="Note 2 5 2 5" xfId="3302"/>
    <cellStyle name="Note 2 5 2 6" xfId="3726"/>
    <cellStyle name="Note 2 5 3" xfId="1142"/>
    <cellStyle name="Note 2 5 4" xfId="1475"/>
    <cellStyle name="Note 2 5 5" xfId="2008"/>
    <cellStyle name="Note 2 5 6" xfId="2574"/>
    <cellStyle name="Note 2 5 7" xfId="3108"/>
    <cellStyle name="Note 2 6" xfId="597"/>
    <cellStyle name="Note 2 6 2" xfId="1542"/>
    <cellStyle name="Note 2 6 3" xfId="2148"/>
    <cellStyle name="Note 2 6 4" xfId="2702"/>
    <cellStyle name="Note 2 6 5" xfId="3214"/>
    <cellStyle name="Note 2 6 6" xfId="3638"/>
    <cellStyle name="Note 2 7" xfId="1022"/>
    <cellStyle name="Note 2 8" xfId="1003"/>
    <cellStyle name="Note 2 9" xfId="1030"/>
    <cellStyle name="Note 20" xfId="4165"/>
    <cellStyle name="Note 21" xfId="4206"/>
    <cellStyle name="Note 22" xfId="4247"/>
    <cellStyle name="Note 23" xfId="4288"/>
    <cellStyle name="Note 24" xfId="4330"/>
    <cellStyle name="Note 25" xfId="4371"/>
    <cellStyle name="Note 26" xfId="4412"/>
    <cellStyle name="Note 27" xfId="4453"/>
    <cellStyle name="Note 28" xfId="4494"/>
    <cellStyle name="Note 29" xfId="4535"/>
    <cellStyle name="Note 3" xfId="72"/>
    <cellStyle name="Note 3 10" xfId="1012"/>
    <cellStyle name="Note 3 11" xfId="1015"/>
    <cellStyle name="Note 3 2" xfId="119"/>
    <cellStyle name="Note 3 2 10" xfId="2605"/>
    <cellStyle name="Note 3 2 2" xfId="129"/>
    <cellStyle name="Note 3 2 2 2" xfId="173"/>
    <cellStyle name="Note 3 2 2 2 2" xfId="262"/>
    <cellStyle name="Note 3 2 2 2 2 2" xfId="768"/>
    <cellStyle name="Note 3 2 2 2 2 2 2" xfId="1713"/>
    <cellStyle name="Note 3 2 2 2 2 2 3" xfId="2319"/>
    <cellStyle name="Note 3 2 2 2 2 2 4" xfId="2873"/>
    <cellStyle name="Note 3 2 2 2 2 2 5" xfId="3385"/>
    <cellStyle name="Note 3 2 2 2 2 2 6" xfId="3809"/>
    <cellStyle name="Note 3 2 2 2 2 3" xfId="1225"/>
    <cellStyle name="Note 3 2 2 2 2 4" xfId="980"/>
    <cellStyle name="Note 3 2 2 2 2 5" xfId="1947"/>
    <cellStyle name="Note 3 2 2 2 2 6" xfId="1976"/>
    <cellStyle name="Note 3 2 2 2 2 7" xfId="2522"/>
    <cellStyle name="Note 3 2 2 2 3" xfId="680"/>
    <cellStyle name="Note 3 2 2 2 3 2" xfId="1625"/>
    <cellStyle name="Note 3 2 2 2 3 3" xfId="2231"/>
    <cellStyle name="Note 3 2 2 2 3 4" xfId="2785"/>
    <cellStyle name="Note 3 2 2 2 3 5" xfId="3297"/>
    <cellStyle name="Note 3 2 2 2 3 6" xfId="3721"/>
    <cellStyle name="Note 3 2 2 2 4" xfId="1136"/>
    <cellStyle name="Note 3 2 2 2 5" xfId="1836"/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 2 2 3 2 2" xfId="1669"/>
    <cellStyle name="Note 3 2 2 3 2 3" xfId="2275"/>
    <cellStyle name="Note 3 2 2 3 2 4" xfId="2829"/>
    <cellStyle name="Note 3 2 2 3 2 5" xfId="3341"/>
    <cellStyle name="Note 3 2 2 3 2 6" xfId="3765"/>
    <cellStyle name="Note 3 2 2 3 3" xfId="1181"/>
    <cellStyle name="Note 3 2 2 3 4" xfId="1383"/>
    <cellStyle name="Note 3 2 2 3 5" xfId="1387"/>
    <cellStyle name="Note 3 2 2 3 6" xfId="2071"/>
    <cellStyle name="Note 3 2 2 3 7" xfId="2634"/>
    <cellStyle name="Note 3 2 2 4" xfId="636"/>
    <cellStyle name="Note 3 2 2 4 2" xfId="1581"/>
    <cellStyle name="Note 3 2 2 4 3" xfId="2187"/>
    <cellStyle name="Note 3 2 2 4 4" xfId="2741"/>
    <cellStyle name="Note 3 2 2 4 5" xfId="3253"/>
    <cellStyle name="Note 3 2 2 4 6" xfId="3677"/>
    <cellStyle name="Note 3 2 2 5" xfId="1092"/>
    <cellStyle name="Note 3 2 2 6" xfId="1429"/>
    <cellStyle name="Note 3 2 2 7" xfId="1286"/>
    <cellStyle name="Note 3 2 2 8" xfId="1982"/>
    <cellStyle name="Note 3 2 2 9" xfId="2548"/>
    <cellStyle name="Note 3 2 3" xfId="151"/>
    <cellStyle name="Note 3 2 3 2" xfId="240"/>
    <cellStyle name="Note 3 2 3 2 2" xfId="746"/>
    <cellStyle name="Note 3 2 3 2 2 2" xfId="1691"/>
    <cellStyle name="Note 3 2 3 2 2 3" xfId="2297"/>
    <cellStyle name="Note 3 2 3 2 2 4" xfId="2851"/>
    <cellStyle name="Note 3 2 3 2 2 5" xfId="3363"/>
    <cellStyle name="Note 3 2 3 2 2 6" xfId="3787"/>
    <cellStyle name="Note 3 2 3 2 3" xfId="1203"/>
    <cellStyle name="Note 3 2 3 2 4" xfId="1452"/>
    <cellStyle name="Note 3 2 3 2 5" xfId="2540"/>
    <cellStyle name="Note 3 2 3 2 6" xfId="3079"/>
    <cellStyle name="Note 3 2 3 2 7" xfId="3573"/>
    <cellStyle name="Note 3 2 3 3" xfId="658"/>
    <cellStyle name="Note 3 2 3 3 2" xfId="1603"/>
    <cellStyle name="Note 3 2 3 3 3" xfId="2209"/>
    <cellStyle name="Note 3 2 3 3 4" xfId="2763"/>
    <cellStyle name="Note 3 2 3 3 5" xfId="3275"/>
    <cellStyle name="Note 3 2 3 3 6" xfId="3699"/>
    <cellStyle name="Note 3 2 3 4" xfId="1114"/>
    <cellStyle name="Note 3 2 3 5" xfId="991"/>
    <cellStyle name="Note 3 2 3 6" xfId="2072"/>
    <cellStyle name="Note 3 2 3 7" xfId="2635"/>
    <cellStyle name="Note 3 2 3 8" xfId="3156"/>
    <cellStyle name="Note 3 2 4" xfId="196"/>
    <cellStyle name="Note 3 2 4 2" xfId="702"/>
    <cellStyle name="Note 3 2 4 2 2" xfId="1647"/>
    <cellStyle name="Note 3 2 4 2 3" xfId="2253"/>
    <cellStyle name="Note 3 2 4 2 4" xfId="2807"/>
    <cellStyle name="Note 3 2 4 2 5" xfId="3319"/>
    <cellStyle name="Note 3 2 4 2 6" xfId="3743"/>
    <cellStyle name="Note 3 2 4 3" xfId="1159"/>
    <cellStyle name="Note 3 2 4 4" xfId="1278"/>
    <cellStyle name="Note 3 2 4 5" xfId="1970"/>
    <cellStyle name="Note 3 2 4 6" xfId="2537"/>
    <cellStyle name="Note 3 2 4 7" xfId="3077"/>
    <cellStyle name="Note 3 2 5" xfId="614"/>
    <cellStyle name="Note 3 2 5 2" xfId="1559"/>
    <cellStyle name="Note 3 2 5 3" xfId="2165"/>
    <cellStyle name="Note 3 2 5 4" xfId="2719"/>
    <cellStyle name="Note 3 2 5 5" xfId="3231"/>
    <cellStyle name="Note 3 2 5 6" xfId="3655"/>
    <cellStyle name="Note 3 2 6" xfId="1069"/>
    <cellStyle name="Note 3 2 7" xfId="1391"/>
    <cellStyle name="Note 3 2 8" xfId="1237"/>
    <cellStyle name="Note 3 2 9" xfId="2041"/>
    <cellStyle name="Note 3 3" xfId="125"/>
    <cellStyle name="Note 3 3 2" xfId="157"/>
    <cellStyle name="Note 3 3 2 2" xfId="246"/>
    <cellStyle name="Note 3 3 2 2 2" xfId="752"/>
    <cellStyle name="Note 3 3 2 2 2 2" xfId="1697"/>
    <cellStyle name="Note 3 3 2 2 2 3" xfId="2303"/>
    <cellStyle name="Note 3 3 2 2 2 4" xfId="2857"/>
    <cellStyle name="Note 3 3 2 2 2 5" xfId="3369"/>
    <cellStyle name="Note 3 3 2 2 2 6" xfId="3793"/>
    <cellStyle name="Note 3 3 2 2 3" xfId="1209"/>
    <cellStyle name="Note 3 3 2 2 4" xfId="1057"/>
    <cellStyle name="Note 3 3 2 2 5" xfId="2063"/>
    <cellStyle name="Note 3 3 2 2 6" xfId="2627"/>
    <cellStyle name="Note 3 3 2 2 7" xfId="3150"/>
    <cellStyle name="Note 3 3 2 3" xfId="664"/>
    <cellStyle name="Note 3 3 2 3 2" xfId="1609"/>
    <cellStyle name="Note 3 3 2 3 3" xfId="2215"/>
    <cellStyle name="Note 3 3 2 3 4" xfId="2769"/>
    <cellStyle name="Note 3 3 2 3 5" xfId="3281"/>
    <cellStyle name="Note 3 3 2 3 6" xfId="3705"/>
    <cellStyle name="Note 3 3 2 4" xfId="1120"/>
    <cellStyle name="Note 3 3 2 5" xfId="1274"/>
    <cellStyle name="Note 3 3 2 6" xfId="1287"/>
    <cellStyle name="Note 3 3 2 7" xfId="2458"/>
    <cellStyle name="Note 3 3 2 8" xfId="3009"/>
    <cellStyle name="Note 3 3 3" xfId="202"/>
    <cellStyle name="Note 3 3 3 2" xfId="708"/>
    <cellStyle name="Note 3 3 3 2 2" xfId="1653"/>
    <cellStyle name="Note 3 3 3 2 3" xfId="2259"/>
    <cellStyle name="Note 3 3 3 2 4" xfId="2813"/>
    <cellStyle name="Note 3 3 3 2 5" xfId="3325"/>
    <cellStyle name="Note 3 3 3 2 6" xfId="3749"/>
    <cellStyle name="Note 3 3 3 3" xfId="1165"/>
    <cellStyle name="Note 3 3 3 4" xfId="985"/>
    <cellStyle name="Note 3 3 3 5" xfId="2481"/>
    <cellStyle name="Note 3 3 3 6" xfId="3030"/>
    <cellStyle name="Note 3 3 3 7" xfId="3535"/>
    <cellStyle name="Note 3 3 4" xfId="620"/>
    <cellStyle name="Note 3 3 4 2" xfId="1565"/>
    <cellStyle name="Note 3 3 4 3" xfId="2171"/>
    <cellStyle name="Note 3 3 4 4" xfId="2725"/>
    <cellStyle name="Note 3 3 4 5" xfId="3237"/>
    <cellStyle name="Note 3 3 4 6" xfId="3661"/>
    <cellStyle name="Note 3 3 5" xfId="1076"/>
    <cellStyle name="Note 3 3 6" xfId="1827"/>
    <cellStyle name="Note 3 3 7" xfId="2038"/>
    <cellStyle name="Note 3 3 8" xfId="2602"/>
    <cellStyle name="Note 3 3 9" xfId="3129"/>
    <cellStyle name="Note 3 4" xfId="135"/>
    <cellStyle name="Note 3 4 2" xfId="224"/>
    <cellStyle name="Note 3 4 2 2" xfId="730"/>
    <cellStyle name="Note 3 4 2 2 2" xfId="1675"/>
    <cellStyle name="Note 3 4 2 2 3" xfId="2281"/>
    <cellStyle name="Note 3 4 2 2 4" xfId="2835"/>
    <cellStyle name="Note 3 4 2 2 5" xfId="3347"/>
    <cellStyle name="Note 3 4 2 2 6" xfId="3771"/>
    <cellStyle name="Note 3 4 2 3" xfId="1187"/>
    <cellStyle name="Note 3 4 2 4" xfId="1856"/>
    <cellStyle name="Note 3 4 2 5" xfId="1378"/>
    <cellStyle name="Note 3 4 2 6" xfId="1958"/>
    <cellStyle name="Note 3 4 2 7" xfId="1478"/>
    <cellStyle name="Note 3 4 3" xfId="642"/>
    <cellStyle name="Note 3 4 3 2" xfId="1587"/>
    <cellStyle name="Note 3 4 3 3" xfId="2193"/>
    <cellStyle name="Note 3 4 3 4" xfId="2747"/>
    <cellStyle name="Note 3 4 3 5" xfId="3259"/>
    <cellStyle name="Note 3 4 3 6" xfId="3683"/>
    <cellStyle name="Note 3 4 4" xfId="1098"/>
    <cellStyle name="Note 3 4 5" xfId="1033"/>
    <cellStyle name="Note 3 4 6" xfId="2432"/>
    <cellStyle name="Note 3 4 7" xfId="2986"/>
    <cellStyle name="Note 3 4 8" xfId="3497"/>
    <cellStyle name="Note 3 5" xfId="180"/>
    <cellStyle name="Note 3 5 2" xfId="686"/>
    <cellStyle name="Note 3 5 2 2" xfId="1631"/>
    <cellStyle name="Note 3 5 2 3" xfId="2237"/>
    <cellStyle name="Note 3 5 2 4" xfId="2791"/>
    <cellStyle name="Note 3 5 2 5" xfId="3303"/>
    <cellStyle name="Note 3 5 2 6" xfId="3727"/>
    <cellStyle name="Note 3 5 3" xfId="1143"/>
    <cellStyle name="Note 3 5 4" xfId="1437"/>
    <cellStyle name="Note 3 5 5" xfId="1972"/>
    <cellStyle name="Note 3 5 6" xfId="1320"/>
    <cellStyle name="Note 3 5 7" xfId="969"/>
    <cellStyle name="Note 3 6" xfId="598"/>
    <cellStyle name="Note 3 6 2" xfId="1543"/>
    <cellStyle name="Note 3 6 3" xfId="2149"/>
    <cellStyle name="Note 3 6 4" xfId="2703"/>
    <cellStyle name="Note 3 6 5" xfId="3215"/>
    <cellStyle name="Note 3 6 6" xfId="3639"/>
    <cellStyle name="Note 3 7" xfId="1023"/>
    <cellStyle name="Note 3 8" xfId="1010"/>
    <cellStyle name="Note 3 9" xfId="1074"/>
    <cellStyle name="Note 30" xfId="4576"/>
    <cellStyle name="Note 31" xfId="4618"/>
    <cellStyle name="Note 32" xfId="4660"/>
    <cellStyle name="Note 33" xfId="4701"/>
    <cellStyle name="Note 34" xfId="4742"/>
    <cellStyle name="Note 35" xfId="4783"/>
    <cellStyle name="Note 36" xfId="4824"/>
    <cellStyle name="Note 37" xfId="4865"/>
    <cellStyle name="Note 4" xfId="281"/>
    <cellStyle name="Note 4 2" xfId="773"/>
    <cellStyle name="Note 4 2 2" xfId="1718"/>
    <cellStyle name="Note 4 2 3" xfId="2324"/>
    <cellStyle name="Note 4 2 4" xfId="2878"/>
    <cellStyle name="Note 4 2 5" xfId="3390"/>
    <cellStyle name="Note 4 2 6" xfId="3814"/>
    <cellStyle name="Note 4 3" xfId="1243"/>
    <cellStyle name="Note 4 4" xfId="1246"/>
    <cellStyle name="Note 4 5" xfId="2454"/>
    <cellStyle name="Note 4 6" xfId="3005"/>
    <cellStyle name="Note 4 7" xfId="3514"/>
    <cellStyle name="Note 5" xfId="322"/>
    <cellStyle name="Note 5 2" xfId="786"/>
    <cellStyle name="Note 5 2 2" xfId="1731"/>
    <cellStyle name="Note 5 2 3" xfId="2337"/>
    <cellStyle name="Note 5 2 4" xfId="2891"/>
    <cellStyle name="Note 5 2 5" xfId="3403"/>
    <cellStyle name="Note 5 2 6" xfId="3827"/>
    <cellStyle name="Note 5 3" xfId="1281"/>
    <cellStyle name="Note 5 4" xfId="976"/>
    <cellStyle name="Note 5 5" xfId="1245"/>
    <cellStyle name="Note 5 6" xfId="1451"/>
    <cellStyle name="Note 5 7" xfId="2066"/>
    <cellStyle name="Note 6" xfId="363"/>
    <cellStyle name="Note 6 2" xfId="799"/>
    <cellStyle name="Note 6 2 2" xfId="1744"/>
    <cellStyle name="Note 6 2 3" xfId="2350"/>
    <cellStyle name="Note 6 2 4" xfId="2904"/>
    <cellStyle name="Note 6 2 5" xfId="3416"/>
    <cellStyle name="Note 6 2 6" xfId="3840"/>
    <cellStyle name="Note 6 3" xfId="1321"/>
    <cellStyle name="Note 6 4" xfId="968"/>
    <cellStyle name="Note 6 5" xfId="2054"/>
    <cellStyle name="Note 6 6" xfId="2618"/>
    <cellStyle name="Note 6 7" xfId="3144"/>
    <cellStyle name="Note 7" xfId="404"/>
    <cellStyle name="Note 7 2" xfId="812"/>
    <cellStyle name="Note 7 2 2" xfId="1757"/>
    <cellStyle name="Note 7 2 3" xfId="2363"/>
    <cellStyle name="Note 7 2 4" xfId="2917"/>
    <cellStyle name="Note 7 2 5" xfId="3429"/>
    <cellStyle name="Note 7 2 6" xfId="3853"/>
    <cellStyle name="Note 7 3" xfId="1360"/>
    <cellStyle name="Note 7 4" xfId="1971"/>
    <cellStyle name="Note 7 5" xfId="2533"/>
    <cellStyle name="Note 7 6" xfId="3074"/>
    <cellStyle name="Note 7 7" xfId="3570"/>
    <cellStyle name="Note 8" xfId="445"/>
    <cellStyle name="Note 8 2" xfId="825"/>
    <cellStyle name="Note 8 2 2" xfId="1770"/>
    <cellStyle name="Note 8 2 3" xfId="2376"/>
    <cellStyle name="Note 8 2 4" xfId="2930"/>
    <cellStyle name="Note 8 2 5" xfId="3442"/>
    <cellStyle name="Note 8 2 6" xfId="3866"/>
    <cellStyle name="Note 8 3" xfId="1401"/>
    <cellStyle name="Note 8 4" xfId="2007"/>
    <cellStyle name="Note 8 5" xfId="2573"/>
    <cellStyle name="Note 8 6" xfId="3107"/>
    <cellStyle name="Note 8 7" xfId="3585"/>
    <cellStyle name="Note 9" xfId="486"/>
    <cellStyle name="Note 9 2" xfId="838"/>
    <cellStyle name="Note 9 2 2" xfId="1783"/>
    <cellStyle name="Note 9 2 3" xfId="2389"/>
    <cellStyle name="Note 9 2 4" xfId="2943"/>
    <cellStyle name="Note 9 2 5" xfId="3455"/>
    <cellStyle name="Note 9 2 6" xfId="3879"/>
    <cellStyle name="Note 9 3" xfId="1438"/>
    <cellStyle name="Note 9 4" xfId="2046"/>
    <cellStyle name="Note 9 5" xfId="2610"/>
    <cellStyle name="Note 9 6" xfId="3136"/>
    <cellStyle name="Note 9 7" xfId="3598"/>
    <cellStyle name="Output 10" xfId="563"/>
    <cellStyle name="Output 11" xfId="887"/>
    <cellStyle name="Output 12" xfId="928"/>
    <cellStyle name="Output 13" xfId="1909"/>
    <cellStyle name="Output 14" xfId="3955"/>
    <cellStyle name="Output 15" xfId="3996"/>
    <cellStyle name="Output 16" xfId="4037"/>
    <cellStyle name="Output 17" xfId="4078"/>
    <cellStyle name="Output 18" xfId="4119"/>
    <cellStyle name="Output 19" xfId="4160"/>
    <cellStyle name="Output 2" xfId="40"/>
    <cellStyle name="Output 2 2" xfId="88"/>
    <cellStyle name="Output 20" xfId="4201"/>
    <cellStyle name="Output 21" xfId="4242"/>
    <cellStyle name="Output 22" xfId="4283"/>
    <cellStyle name="Output 23" xfId="4325"/>
    <cellStyle name="Output 24" xfId="4366"/>
    <cellStyle name="Output 25" xfId="4407"/>
    <cellStyle name="Output 26" xfId="4448"/>
    <cellStyle name="Output 27" xfId="4489"/>
    <cellStyle name="Output 28" xfId="4530"/>
    <cellStyle name="Output 29" xfId="4571"/>
    <cellStyle name="Output 3" xfId="276"/>
    <cellStyle name="Output 30" xfId="4613"/>
    <cellStyle name="Output 31" xfId="4655"/>
    <cellStyle name="Output 32" xfId="4696"/>
    <cellStyle name="Output 33" xfId="4737"/>
    <cellStyle name="Output 34" xfId="4778"/>
    <cellStyle name="Output 35" xfId="4819"/>
    <cellStyle name="Output 36" xfId="4860"/>
    <cellStyle name="Output 4" xfId="317"/>
    <cellStyle name="Output 5" xfId="358"/>
    <cellStyle name="Output 6" xfId="399"/>
    <cellStyle name="Output 7" xfId="440"/>
    <cellStyle name="Output 8" xfId="481"/>
    <cellStyle name="Output 9" xfId="522"/>
    <cellStyle name="Percent" xfId="1" builtinId="5"/>
    <cellStyle name="Title 10" xfId="554"/>
    <cellStyle name="Title 11" xfId="878"/>
    <cellStyle name="Title 12" xfId="919"/>
    <cellStyle name="Title 13" xfId="1900"/>
    <cellStyle name="Title 14" xfId="3946"/>
    <cellStyle name="Title 15" xfId="3987"/>
    <cellStyle name="Title 16" xfId="4028"/>
    <cellStyle name="Title 17" xfId="4069"/>
    <cellStyle name="Title 18" xfId="4110"/>
    <cellStyle name="Title 19" xfId="4151"/>
    <cellStyle name="Title 2" xfId="41"/>
    <cellStyle name="Title 2 2" xfId="79"/>
    <cellStyle name="Title 20" xfId="4192"/>
    <cellStyle name="Title 21" xfId="4233"/>
    <cellStyle name="Title 22" xfId="4274"/>
    <cellStyle name="Title 23" xfId="4316"/>
    <cellStyle name="Title 24" xfId="4357"/>
    <cellStyle name="Title 25" xfId="4398"/>
    <cellStyle name="Title 26" xfId="4439"/>
    <cellStyle name="Title 27" xfId="4480"/>
    <cellStyle name="Title 28" xfId="4521"/>
    <cellStyle name="Title 29" xfId="4562"/>
    <cellStyle name="Title 3" xfId="267"/>
    <cellStyle name="Title 30" xfId="4604"/>
    <cellStyle name="Title 31" xfId="4646"/>
    <cellStyle name="Title 32" xfId="4687"/>
    <cellStyle name="Title 33" xfId="4728"/>
    <cellStyle name="Title 34" xfId="4769"/>
    <cellStyle name="Title 35" xfId="4810"/>
    <cellStyle name="Title 36" xfId="4851"/>
    <cellStyle name="Title 4" xfId="308"/>
    <cellStyle name="Title 5" xfId="349"/>
    <cellStyle name="Title 6" xfId="390"/>
    <cellStyle name="Title 7" xfId="431"/>
    <cellStyle name="Title 8" xfId="472"/>
    <cellStyle name="Title 9" xfId="513"/>
    <cellStyle name="Total 10" xfId="570"/>
    <cellStyle name="Total 11" xfId="894"/>
    <cellStyle name="Total 12" xfId="935"/>
    <cellStyle name="Total 13" xfId="1916"/>
    <cellStyle name="Total 14" xfId="3962"/>
    <cellStyle name="Total 15" xfId="4003"/>
    <cellStyle name="Total 16" xfId="4044"/>
    <cellStyle name="Total 17" xfId="4085"/>
    <cellStyle name="Total 18" xfId="4126"/>
    <cellStyle name="Total 19" xfId="4167"/>
    <cellStyle name="Total 2" xfId="42"/>
    <cellStyle name="Total 2 2" xfId="94"/>
    <cellStyle name="Total 20" xfId="4208"/>
    <cellStyle name="Total 21" xfId="4249"/>
    <cellStyle name="Total 22" xfId="4290"/>
    <cellStyle name="Total 23" xfId="4332"/>
    <cellStyle name="Total 24" xfId="4373"/>
    <cellStyle name="Total 25" xfId="4414"/>
    <cellStyle name="Total 26" xfId="4455"/>
    <cellStyle name="Total 27" xfId="4496"/>
    <cellStyle name="Total 28" xfId="4537"/>
    <cellStyle name="Total 29" xfId="4578"/>
    <cellStyle name="Total 3" xfId="283"/>
    <cellStyle name="Total 30" xfId="4620"/>
    <cellStyle name="Total 31" xfId="4662"/>
    <cellStyle name="Total 32" xfId="4703"/>
    <cellStyle name="Total 33" xfId="4744"/>
    <cellStyle name="Total 34" xfId="4785"/>
    <cellStyle name="Total 35" xfId="4826"/>
    <cellStyle name="Total 36" xfId="4867"/>
    <cellStyle name="Total 4" xfId="324"/>
    <cellStyle name="Total 5" xfId="365"/>
    <cellStyle name="Total 6" xfId="406"/>
    <cellStyle name="Total 7" xfId="447"/>
    <cellStyle name="Total 8" xfId="488"/>
    <cellStyle name="Total 9" xfId="529"/>
    <cellStyle name="Warning Text 10" xfId="567"/>
    <cellStyle name="Warning Text 11" xfId="891"/>
    <cellStyle name="Warning Text 12" xfId="932"/>
    <cellStyle name="Warning Text 13" xfId="1913"/>
    <cellStyle name="Warning Text 14" xfId="3959"/>
    <cellStyle name="Warning Text 15" xfId="4000"/>
    <cellStyle name="Warning Text 16" xfId="4041"/>
    <cellStyle name="Warning Text 17" xfId="4082"/>
    <cellStyle name="Warning Text 18" xfId="4123"/>
    <cellStyle name="Warning Text 19" xfId="4164"/>
    <cellStyle name="Warning Text 2" xfId="43"/>
    <cellStyle name="Warning Text 2 2" xfId="92"/>
    <cellStyle name="Warning Text 20" xfId="4205"/>
    <cellStyle name="Warning Text 21" xfId="4246"/>
    <cellStyle name="Warning Text 22" xfId="4287"/>
    <cellStyle name="Warning Text 23" xfId="4329"/>
    <cellStyle name="Warning Text 24" xfId="4370"/>
    <cellStyle name="Warning Text 25" xfId="4411"/>
    <cellStyle name="Warning Text 26" xfId="4452"/>
    <cellStyle name="Warning Text 27" xfId="4493"/>
    <cellStyle name="Warning Text 28" xfId="4534"/>
    <cellStyle name="Warning Text 29" xfId="4575"/>
    <cellStyle name="Warning Text 3" xfId="280"/>
    <cellStyle name="Warning Text 30" xfId="4617"/>
    <cellStyle name="Warning Text 31" xfId="4659"/>
    <cellStyle name="Warning Text 32" xfId="4700"/>
    <cellStyle name="Warning Text 33" xfId="4741"/>
    <cellStyle name="Warning Text 34" xfId="4782"/>
    <cellStyle name="Warning Text 35" xfId="4823"/>
    <cellStyle name="Warning Text 36" xfId="4864"/>
    <cellStyle name="Warning Text 4" xfId="321"/>
    <cellStyle name="Warning Text 5" xfId="362"/>
    <cellStyle name="Warning Text 6" xfId="403"/>
    <cellStyle name="Warning Text 7" xfId="444"/>
    <cellStyle name="Warning Text 8" xfId="485"/>
    <cellStyle name="Warning Text 9" xfId="526"/>
  </cellStyles>
  <dxfs count="238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70745.1875</v>
        <stp/>
        <stp>##V3_BDPV12</stp>
        <stp>IEMG EQUITY</stp>
        <stp>Fund Total Assets</stp>
        <stp>[Macro RPRR.xlsx]flows!R34C8</stp>
        <tr r="H34" s="12"/>
      </tp>
      <tp>
        <v>10.168571637828057</v>
        <stp/>
        <stp>##V3_BDPV12</stp>
        <stp>HG2 Comdty</stp>
        <stp>chg PCt 1yr</stp>
        <stp>[Macro RPRR.xlsx]monitor!R91C6</stp>
        <tr r="F91" s="10"/>
      </tp>
      <tp>
        <v>69.549349643700182</v>
        <stp/>
        <stp>##V3_BDPV12</stp>
        <stp>HG2 Comdty</stp>
        <stp>chg PCt 5yr</stp>
        <stp>[Macro RPRR.xlsx]monitor!R91C7</stp>
        <tr r="G91" s="10"/>
      </tp>
      <tp>
        <v>8.2051309999999997</v>
        <stp/>
        <stp>##V3_BDPV12</stp>
        <stp>AGG EQUITY</stp>
        <stp>MF_tot_1D</stp>
        <stp>[Macro RPRR.xlsx]flows!R8C9</stp>
        <tr r="I8" s="12"/>
      </tp>
      <tp>
        <v>112.9</v>
        <stp/>
        <stp>##V3_BDPV12</stp>
        <stp>EUdb60fr index</stp>
        <stp>px last</stp>
        <stp>[Macro RPRR.xlsx]EU countries!R8C17</stp>
        <tr r="Q8" s="11"/>
      </tp>
      <tp>
        <v>-0.78049999999999997</v>
        <stp/>
        <stp>##V3_BDPV12</stp>
        <stp>CEERUS curncy</stp>
        <stp>CHG PCT 1yr</stp>
        <stp>[Macro RPRR.xlsx]eco data!R14C7</stp>
        <tr r="G14" s="8"/>
      </tp>
      <tp t="s">
        <v>X EUROZONE GOVERNMENT 1C</v>
        <stp/>
        <stp>##V3_BDPV12</stp>
        <stp>XGLE GR EQUITY</stp>
        <stp>Name</stp>
        <stp>[Macro RPRR.xlsx]flows!R30C3</stp>
        <tr r="C30" s="12"/>
      </tp>
      <tp>
        <v>-2.95</v>
        <stp/>
        <stp>##V3_BDPV12</stp>
        <stp>GDPGAswe INDEX</stp>
        <stp>PX LAST</stp>
        <stp>[Macro RPRR.xlsx]EU countries!R28C14</stp>
        <tr r="N28" s="11"/>
      </tp>
      <tp t="s">
        <v>#N/A N/A</v>
        <stp/>
        <stp>##V3_BDPV12</stp>
        <stp>CNGDPYOY index</stp>
        <stp>CHG neT 5d</stp>
        <stp>[Macro RPRR.xlsx]eco data!R19C23</stp>
        <tr r="W19" s="8"/>
      </tp>
      <tp>
        <v>-5.23</v>
        <stp/>
        <stp>##V3_BDPV12</stp>
        <stp>GDPGAcan INDEX</stp>
        <stp>PX LAST</stp>
        <stp>[Macro RPRR.xlsx]EU countries!R27C14</stp>
        <tr r="N27" s="11"/>
      </tp>
      <tp>
        <v>0.437</v>
        <stp/>
        <stp>##V3_BDPV12</stp>
        <stp>gfrn10 index</stp>
        <stp>chg net 1m</stp>
        <stp>[Macro RPRR.xlsx]monitor!R7C4</stp>
        <tr r="D7" s="10"/>
      </tp>
      <tp>
        <v>1.1639999999999999</v>
        <stp/>
        <stp>##V3_BDPV12</stp>
        <stp>gfrn10 index</stp>
        <stp>chg net 6m</stp>
        <stp>[Macro RPRR.xlsx]monitor!R7C5</stp>
        <tr r="E7" s="10"/>
      </tp>
      <tp>
        <v>0</v>
        <stp/>
        <stp>##V3_BDPV12</stp>
        <stp>GDPGAaus INDEX</stp>
        <stp>PX LAST</stp>
        <stp>[Macro RPRR.xlsx]EU countries!R29C14</stp>
        <tr r="N29" s="11"/>
      </tp>
      <tp>
        <v>-1.8200350000000001</v>
        <stp/>
        <stp>##V3_BDPV12</stp>
        <stp>SX3E index</stp>
        <stp>chg PCt 6m</stp>
        <stp>[Macro RPRR.xlsx]monitor!R48C17</stp>
        <tr r="Q48" s="10"/>
      </tp>
      <tp>
        <v>2.970145</v>
        <stp/>
        <stp>##V3_BDPV12</stp>
        <stp>SX3E index</stp>
        <stp>chg PCt 1m</stp>
        <stp>[Macro RPRR.xlsx]monitor!R48C16</stp>
        <tr r="P48" s="10"/>
      </tp>
      <tp>
        <v>41.6</v>
        <stp/>
        <stp>##V3_BDPV12</stp>
        <stp>gddbAUSL index</stp>
        <stp>px last</stp>
        <stp>[Macro RPRR.xlsx]EU countries!R29C17</stp>
        <tr r="Q29" s="11"/>
      </tp>
      <tp t="s">
        <v>#N/A N/A</v>
        <stp/>
        <stp>##V3_BDPV12</stp>
        <stp>FRgdpyoy index</stp>
        <stp>CHG neT 5d</stp>
        <stp>[Macro RPRR.xlsx]eco data!R45C14</stp>
        <tr r="N45" s="8"/>
      </tp>
      <tp>
        <v>-4.0599999999999996</v>
        <stp/>
        <stp>##V3_BDPV12</stp>
        <stp>GDPGABRA INDEX</stp>
        <stp>PX LAST</stp>
        <stp>[Macro RPRR.xlsx]EU countries!R24C14</stp>
        <tr r="N24" s="11"/>
      </tp>
      <tp>
        <v>-7.25</v>
        <stp/>
        <stp>##V3_BDPV12</stp>
        <stp>GDPGAIND INDEX</stp>
        <stp>PX LAST</stp>
        <stp>[Macro RPRR.xlsx]EU countries!R23C14</stp>
        <tr r="N23" s="11"/>
      </tp>
      <tp>
        <v>11.87</v>
        <stp/>
        <stp>##V3_BDPV12</stp>
        <stp>ruonia index</stp>
        <stp>CHG neT 1yr</stp>
        <stp>[Macro RPRR.xlsx]eco data!R37C25</stp>
        <tr r="Y37" s="8"/>
        <tr r="Y37" s="8"/>
      </tp>
      <tp>
        <v>-37.986199999999997</v>
        <stp/>
        <stp>##V3_BDPV12</stp>
        <stp>rub curncy</stp>
        <stp>chg PCt 1yr</stp>
        <stp>[Macro RPRR.xlsx]monitor!R93C17</stp>
        <tr r="Q93" s="10"/>
      </tp>
      <tp>
        <v>-11.363799999999999</v>
        <stp/>
        <stp>##V3_BDPV12</stp>
        <stp>sek curncy</stp>
        <stp>chg PCt 1yr</stp>
        <stp>[Macro RPRR.xlsx]monitor!R81C17</stp>
        <tr r="Q81" s="10"/>
      </tp>
      <tp>
        <v>-8.5373943032935919</v>
        <stp/>
        <stp>##V3_BDPV12</stp>
        <stp>SI2 Comdty</stp>
        <stp>chg PCt 1yr</stp>
        <stp>[Macro RPRR.xlsx]monitor!R90C6</stp>
        <tr r="F90" s="10"/>
      </tp>
      <tp>
        <v>19.794470195924909</v>
        <stp/>
        <stp>##V3_BDPV12</stp>
        <stp>SI2 Comdty</stp>
        <stp>chg PCt 5yr</stp>
        <stp>[Macro RPRR.xlsx]monitor!R90C7</stp>
        <tr r="G90" s="10"/>
      </tp>
      <tp>
        <v>-15.8916</v>
        <stp/>
        <stp>##V3_BDPV12</stp>
        <stp>jpy curncy</stp>
        <stp>chg PCt 1yr</stp>
        <stp>[Macro RPRR.xlsx]monitor!R82C17</stp>
        <tr r="Q82" s="10"/>
      </tp>
      <tp>
        <v>-9.8143999999999991</v>
        <stp/>
        <stp>##V3_BDPV12</stp>
        <stp>krw curncy</stp>
        <stp>chg PCt 1yr</stp>
        <stp>[Macro RPRR.xlsx]monitor!R85C17</stp>
        <tr r="Q85" s="10"/>
      </tp>
      <tp>
        <v>-2.0004</v>
        <stp/>
        <stp>##V3_BDPV12</stp>
        <stp>inr curncy</stp>
        <stp>chg PCt 1yr</stp>
        <stp>[Macro RPRR.xlsx]monitor!R91C17</stp>
        <tr r="Q91" s="10"/>
      </tp>
      <tp>
        <v>-6.9157999999999999</v>
        <stp/>
        <stp>##V3_BDPV12</stp>
        <stp>nzd curncy</stp>
        <stp>chg PCt 1yr</stp>
        <stp>[Macro RPRR.xlsx]monitor!R84C17</stp>
        <tr r="Q84" s="10"/>
      </tp>
      <tp>
        <v>-2.0695000000000001</v>
        <stp/>
        <stp>##V3_BDPV12</stp>
        <stp>mxn curncy</stp>
        <stp>chg PCt 1yr</stp>
        <stp>[Macro RPRR.xlsx]monitor!R89C17</stp>
        <tr r="Q89" s="10"/>
      </tp>
      <tp>
        <v>20.451699999999999</v>
        <stp/>
        <stp>##V3_BDPV12</stp>
        <stp>brl curncy</stp>
        <stp>chg PCt 1yr</stp>
        <stp>[Macro RPRR.xlsx]monitor!R88C17</stp>
        <tr r="Q88" s="10"/>
      </tp>
      <tp>
        <v>-0.18609999999999999</v>
        <stp/>
        <stp>##V3_BDPV12</stp>
        <stp>cny curncy</stp>
        <stp>chg PCt 1yr</stp>
        <stp>[Macro RPRR.xlsx]monitor!R90C17</stp>
        <tr r="Q90" s="10"/>
      </tp>
      <tp>
        <v>-3.9175</v>
        <stp/>
        <stp>##V3_BDPV12</stp>
        <stp>chf curncy</stp>
        <stp>chg PCt 1yr</stp>
        <stp>[Macro RPRR.xlsx]monitor!R79C17</stp>
        <tr r="Q79" s="10"/>
      </tp>
      <tp>
        <v>-5.2290000000000001</v>
        <stp/>
        <stp>##V3_BDPV12</stp>
        <stp>aud curncy</stp>
        <stp>chg PCt 1yr</stp>
        <stp>[Macro RPRR.xlsx]monitor!R83C17</stp>
        <tr r="Q83" s="10"/>
      </tp>
      <tp>
        <v>-6.8285</v>
        <stp/>
        <stp>##V3_BDPV12</stp>
        <stp>gbp curncy</stp>
        <stp>chg PCt 1yr</stp>
        <stp>[Macro RPRR.xlsx]monitor!R80C17</stp>
        <tr r="Q80" s="10"/>
      </tp>
      <tp t="s">
        <v>ISHARES EURO CORP 1-5YR</v>
        <stp/>
        <stp>##V3_BDPV12</stp>
        <stp>SE15 LN EQUITY</stp>
        <stp>Name</stp>
        <stp>[Macro RPRR.xlsx]flows!R28C3</stp>
        <tr r="C28" s="12"/>
      </tp>
      <tp>
        <v>-1.2943</v>
        <stp/>
        <stp>##V3_BDPV12</stp>
        <stp>CAD curncy</stp>
        <stp>chg PCt 1yr</stp>
        <stp>[Macro RPRR.xlsx]monitor!R73C17</stp>
        <tr r="Q73" s="10"/>
      </tp>
      <tp>
        <v>-10.0541</v>
        <stp/>
        <stp>##V3_BDPV12</stp>
        <stp>EUR curncy</stp>
        <stp>chg PCt 1yr</stp>
        <stp>[Macro RPRR.xlsx]monitor!R78C17</stp>
        <tr r="Q78" s="10"/>
      </tp>
      <tp>
        <v>-10.0541</v>
        <stp/>
        <stp>##V3_BDPV12</stp>
        <stp>EUR curncy</stp>
        <stp>chg PCt 1yr</stp>
        <stp>[Macro RPRR.xlsx]monitor!R77C17</stp>
        <tr r="Q77" s="10"/>
      </tp>
      <tp>
        <v>-10.0541</v>
        <stp/>
        <stp>##V3_BDPV12</stp>
        <stp>EUR curncy</stp>
        <stp>chg PCt 1yr</stp>
        <stp>[Macro RPRR.xlsx]monitor!R76C17</stp>
        <tr r="Q76" s="10"/>
      </tp>
      <tp>
        <v>-10.0541</v>
        <stp/>
        <stp>##V3_BDPV12</stp>
        <stp>EUR curncy</stp>
        <stp>chg PCt 1yr</stp>
        <stp>[Macro RPRR.xlsx]monitor!R75C17</stp>
        <tr r="Q75" s="10"/>
      </tp>
      <tp>
        <v>-10.0541</v>
        <stp/>
        <stp>##V3_BDPV12</stp>
        <stp>EUR curncy</stp>
        <stp>chg PCt 1yr</stp>
        <stp>[Macro RPRR.xlsx]monitor!R74C17</stp>
        <tr r="Q74" s="10"/>
      </tp>
      <tp>
        <v>-10.0541</v>
        <stp/>
        <stp>##V3_BDPV12</stp>
        <stp>EUR curncy</stp>
        <stp>chg PCt 1yr</stp>
        <stp>[Macro RPRR.xlsx]monitor!R92C17</stp>
        <tr r="Q92" s="10"/>
      </tp>
      <tp>
        <v>6.3932570000000002</v>
        <stp/>
        <stp>##V3_BDPV12</stp>
        <stp>oex index</stp>
        <stp>chg PCt 1yr</stp>
        <stp>[Macro RPRR.xlsx]monitor!R78C6</stp>
        <tr r="F78" s="10"/>
      </tp>
      <tp>
        <v>25.65474</v>
        <stp/>
        <stp>##V3_BDPV12</stp>
        <stp>vix index</stp>
        <stp>chg PCt 1yr</stp>
        <stp>[Macro RPRR.xlsx]monitor!R84C6</stp>
        <tr r="F84" s="10"/>
      </tp>
      <tp>
        <v>92.736279999999994</v>
        <stp/>
        <stp>##V3_BDPV12</stp>
        <stp>oex index</stp>
        <stp>chg PCt 5yr</stp>
        <stp>[Macro RPRR.xlsx]monitor!R78C7</stp>
        <tr r="G78" s="10"/>
      </tp>
      <tp>
        <v>60.697200000000002</v>
        <stp/>
        <stp>##V3_BDPV12</stp>
        <stp>vix index</stp>
        <stp>chg PCt 5yr</stp>
        <stp>[Macro RPRR.xlsx]monitor!R84C7</stp>
        <tr r="G84" s="10"/>
      </tp>
      <tp t="s">
        <v>#N/A N/A</v>
        <stp/>
        <stp>##V3_BDPV12</stp>
        <stp>spnagdpy index</stp>
        <stp>CHG neT 1m</stp>
        <stp>[Macro RPRR.xlsx]eco data!R19C15</stp>
        <tr r="O19" s="8"/>
      </tp>
      <tp>
        <v>4.3999999999999997E-2</v>
        <stp/>
        <stp>##V3_BDPV12</stp>
        <stp>gspt2yr index</stp>
        <stp>CHG neT 5d</stp>
        <stp>[Macro RPRR.xlsx]eco data!R12C14</stp>
        <tr r="N12" s="8"/>
      </tp>
      <tp>
        <v>0.39</v>
        <stp/>
        <stp>##V3_BDPV12</stp>
        <stp>gbtp2yr index</stp>
        <stp>CHG neT 1m</stp>
        <stp>[Macro RPRR.xlsx]eco data!R38C15</stp>
        <tr r="O38" s="8"/>
      </tp>
      <tp t="s">
        <v>Airlines</v>
        <stp/>
        <stp>##V3_BDPV12</stp>
        <stp>IAG LN Equity</stp>
        <stp>industry group</stp>
        <stp>[Macro RPRR.xlsx]monitor!R3C34</stp>
        <tr r="AH3" s="10"/>
      </tp>
      <tp>
        <v>3.8</v>
        <stp/>
        <stp>##V3_BDPV12</stp>
        <stp>ehupus index</stp>
        <stp>px last</stp>
        <stp>[Macro RPRR.xlsx]eco data!R8C4</stp>
        <tr r="D8" s="8"/>
      </tp>
      <tp>
        <v>0.129</v>
        <stp/>
        <stp>##V3_BDPV12</stp>
        <stp>gspg2yr index</stp>
        <stp>CHG neT 5d</stp>
        <stp>[Macro RPRR.xlsx]eco data!R25C14</stp>
        <tr r="N25" s="8"/>
      </tp>
      <tp>
        <v>154.9702045276486</v>
        <stp/>
        <stp>##V3_BDPV12</stp>
        <stp>NG2 Comdty</stp>
        <stp>chg PCt 1yr</stp>
        <stp>[Macro RPRR.xlsx]monitor!R93C6</stp>
        <tr r="F93" s="10"/>
      </tp>
      <tp>
        <v>-4.6494068298644926</v>
        <stp/>
        <stp>##V3_BDPV12</stp>
        <stp>NG2 Comdty</stp>
        <stp>chg PCt 5yr</stp>
        <stp>[Macro RPRR.xlsx]monitor!R93C7</stp>
        <tr r="G93" s="10"/>
      </tp>
      <tp>
        <v>-0.25466889999999998</v>
        <stp/>
        <stp>##V3_BDPV12</stp>
        <stp>AHT LN Equity</stp>
        <stp>chg PCt 1yr</stp>
        <stp>[Macro RPRR.xlsx]monitor!R5C32</stp>
        <tr r="AF5" s="10"/>
      </tp>
      <tp t="s">
        <v>#N/A N/A</v>
        <stp/>
        <stp>##V3_BDPV12</stp>
        <stp>EUGNEMUQ index</stp>
        <stp>CHG neT 5d</stp>
        <stp>[Macro RPRR.xlsx]eco data!R32C14</stp>
        <tr r="N32" s="8"/>
      </tp>
      <tp>
        <v>0.4</v>
        <stp/>
        <stp>##V3_BDPV12</stp>
        <stp>JGDPNSAQ index</stp>
        <stp>PX last</stp>
        <stp>[Macro RPRR.xlsx]EU countries!R21C14</stp>
        <tr r="N21" s="11"/>
      </tp>
      <tp t="s">
        <v>#N/A N/A</v>
        <stp/>
        <stp>##V3_BDPV12</stp>
        <stp>ehcagb index</stp>
        <stp>CHG neT 1m</stp>
        <stp>[Macro RPRR.xlsx]eco data!R47C6</stp>
        <tr r="F47" s="8"/>
      </tp>
      <tp>
        <v>-0.25944630000000002</v>
        <stp/>
        <stp>##V3_BDPV12</stp>
        <stp>FTSEMIB index</stp>
        <stp>chg PCt 1yr</stp>
        <stp>[Macro RPRR.xlsx]monitor!R8C16</stp>
        <tr r="P8" s="10"/>
      </tp>
      <tp t="s">
        <v>#N/A N/A</v>
        <stp/>
        <stp>##V3_BDPV12</stp>
        <stp>ehcagb index</stp>
        <stp>CHG neT 5d</stp>
        <stp>[Macro RPRR.xlsx]eco data!R47C5</stp>
        <tr r="E47" s="8"/>
      </tp>
      <tp>
        <v>23.267230000000001</v>
        <stp/>
        <stp>##V3_BDPV12</stp>
        <stp>FTSEMIB index</stp>
        <stp>chg PCt 5yr</stp>
        <stp>[Macro RPRR.xlsx]monitor!R8C17</stp>
        <tr r="Q8" s="10"/>
      </tp>
      <tp>
        <v>118.61357738179447</v>
        <stp/>
        <stp>##V3_BDPV12</stp>
        <stp>HO2 Comdty</stp>
        <stp>chg PCt 1yr</stp>
        <stp>[Macro RPRR.xlsx]monitor!R92C6</stp>
        <tr r="F92" s="10"/>
      </tp>
      <tp>
        <v>125.07550630514987</v>
        <stp/>
        <stp>##V3_BDPV12</stp>
        <stp>HO2 Comdty</stp>
        <stp>chg PCt 5yr</stp>
        <stp>[Macro RPRR.xlsx]monitor!R92C7</stp>
        <tr r="G92" s="10"/>
      </tp>
      <tp>
        <v>2.2827000000000002</v>
        <stp/>
        <stp>##V3_BDPV12</stp>
        <stp>CEEREU curncy</stp>
        <stp>CHG PCT 1yr</stp>
        <stp>[Macro RPRR.xlsx]eco data!R27C7</stp>
        <tr r="G27" s="8"/>
      </tp>
      <tp t="s">
        <v>#N/A N/A</v>
        <stp/>
        <stp>##V3_BDPV12</stp>
        <stp>ehbbgb index</stp>
        <stp>CHG neT 1m</stp>
        <stp>[Macro RPRR.xlsx]eco data!R46C6</stp>
        <tr r="F46" s="8"/>
      </tp>
      <tp t="s">
        <v>#N/A N/A</v>
        <stp/>
        <stp>##V3_BDPV12</stp>
        <stp>ehbbgb index</stp>
        <stp>CHG neT 5d</stp>
        <stp>[Macro RPRR.xlsx]eco data!R46C5</stp>
        <tr r="E46" s="8"/>
      </tp>
      <tp>
        <v>11.897242794778492</v>
        <stp/>
        <stp>##V3_BDPV12</stp>
        <stp>XIN9I index</stp>
        <stp>best pe ratio</stp>
        <stp>[Macro RPRR.xlsx]eco data!R28C22</stp>
        <tr r="V28" s="8"/>
      </tp>
      <tp t="s">
        <v>Retail</v>
        <stp/>
        <stp>##V3_BDPV12</stp>
        <stp>KGF LN Equity</stp>
        <stp>industry group</stp>
        <stp>[Macro RPRR.xlsx]monitor!R9C34</stp>
        <tr r="AH9" s="10"/>
      </tp>
      <tp>
        <v>0.89900000000000002</v>
        <stp/>
        <stp>##V3_BDPV12</stp>
        <stp>gbtp2yr index</stp>
        <stp>CHG neT 1yr</stp>
        <stp>[Macro RPRR.xlsx]eco data!R38C16</stp>
        <tr r="P38" s="8"/>
        <tr r="P38" s="8"/>
      </tp>
      <tp>
        <v>48.457525412005289</v>
        <stp/>
        <stp>##V3_BDPV12</stp>
        <stp>W 2 Comdty</stp>
        <stp>chg PCt 1yr</stp>
        <stp>[Macro RPRR.xlsx]monitor!R95C6</stp>
        <tr r="F95" s="10"/>
      </tp>
      <tp>
        <v>0.52302300000000002</v>
        <stp/>
        <stp>##V3_BDPV12</stp>
        <stp>gtesp2y govt</stp>
        <stp>bid yield</stp>
        <stp>[Macro RPRR.xlsx]eco data!R25C13</stp>
        <tr r="M25" s="8"/>
      </tp>
      <tp>
        <v>-0.09</v>
        <stp/>
        <stp>##V3_BDPV12</stp>
        <stp>ehcagb index</stp>
        <stp>CHG neT 1yr</stp>
        <stp>[Macro RPRR.xlsx]eco data!R47C7</stp>
        <tr r="G47" s="8"/>
        <tr r="G47" s="8"/>
      </tp>
      <tp>
        <v>68.393596678661211</v>
        <stp/>
        <stp>##V3_BDPV12</stp>
        <stp>W 2 Comdty</stp>
        <stp>chg PCt 5yr</stp>
        <stp>[Macro RPRR.xlsx]monitor!R95C7</stp>
        <tr r="G95" s="10"/>
      </tp>
      <tp>
        <v>0.25129899999999999</v>
        <stp/>
        <stp>##V3_BDPV12</stp>
        <stp>gtdem2y govt</stp>
        <stp>bid yield</stp>
        <stp>[Macro RPRR.xlsx]eco data!R25C4</stp>
        <tr r="D25" s="8"/>
      </tp>
      <tp>
        <v>6305.36</v>
        <stp/>
        <stp>##V3_BDPV12</stp>
        <stp>EWZ EQUITY</stp>
        <stp>Fund Total Assets</stp>
        <stp>[Macro RPRR.xlsx]flows!R36C8</stp>
        <tr r="H36" s="12"/>
      </tp>
      <tp>
        <v>1.13629</v>
        <stp/>
        <stp>##V3_BDPV12</stp>
        <stp>US0003m INDEX</stp>
        <stp>px LAST</stp>
        <stp>[Macro RPRR.xlsx]eco data!R11C4</stp>
        <tr r="D11" s="8"/>
      </tp>
      <tp>
        <v>-9.0690690000000007</v>
        <stp/>
        <stp>##V3_BDPV12</stp>
        <stp>ENT LN Equity</stp>
        <stp>chg PCt 1yr</stp>
        <stp>[Macro RPRR.xlsx]monitor!R2C32</stp>
        <tr r="AF2" s="10"/>
      </tp>
      <tp>
        <v>106.3</v>
        <stp/>
        <stp>##V3_BDPV12</stp>
        <stp>LCTQesi INDEX</stp>
        <stp>PX LAST</stp>
        <stp>[Macro RPRR.xlsx]EU countries!R10C20</stp>
        <tr r="T10" s="11"/>
      </tp>
      <tp>
        <v>-11.990270000000001</v>
        <stp/>
        <stp>##V3_BDPV12</stp>
        <stp>SX7E index</stp>
        <stp>chg PCt 6m</stp>
        <stp>[Macro RPRR.xlsx]monitor!R37C17</stp>
        <tr r="Q37" s="10"/>
      </tp>
      <tp t="s">
        <v>#N/A N/A</v>
        <stp/>
        <stp>##V3_BDPV12</stp>
        <stp>CNGDPYOY index</stp>
        <stp>CHG neT 1m</stp>
        <stp>[Macro RPRR.xlsx]eco data!R19C24</stp>
        <tr r="X19" s="8"/>
      </tp>
      <tp>
        <v>-3.231671</v>
        <stp/>
        <stp>##V3_BDPV12</stp>
        <stp>SX7E index</stp>
        <stp>chg PCt 1m</stp>
        <stp>[Macro RPRR.xlsx]monitor!R37C16</stp>
        <tr r="P37" s="10"/>
      </tp>
      <tp>
        <v>-7.4</v>
        <stp/>
        <stp>##V3_BDPV12</stp>
        <stp>EUbdgrce index</stp>
        <stp>px last</stp>
        <stp>[Macro RPRR.xlsx]EU countries!R12C18</stp>
        <tr r="R12" s="11"/>
      </tp>
      <tp>
        <v>1.146488</v>
        <stp/>
        <stp>##V3_BDPV12</stp>
        <stp>UKX INDEX</stp>
        <stp>chg PCt 1m</stp>
        <stp>[Macro RPRR.xlsx]monitor!R12C14</stp>
        <tr r="N12" s="10"/>
      </tp>
      <tp t="s">
        <v>#N/A N/A</v>
        <stp/>
        <stp>##V3_BDPV12</stp>
        <stp>FRgdpyoy index</stp>
        <stp>CHG neT 1m</stp>
        <stp>[Macro RPRR.xlsx]eco data!R45C15</stp>
        <tr r="O45" s="8"/>
      </tp>
      <tp>
        <v>4.9675570000000002</v>
        <stp/>
        <stp>##V3_BDPV12</stp>
        <stp>UKX INDEX</stp>
        <stp>chg PCt 6m</stp>
        <stp>[Macro RPRR.xlsx]monitor!R12C15</stp>
        <tr r="O12" s="10"/>
      </tp>
      <tp>
        <v>-394.51</v>
        <stp/>
        <stp>##V3_BDPV12</stp>
        <stp>IVV EQUITY</stp>
        <stp>MF_tot_1M</stp>
        <stp>[Macro RPRR.xlsx]flows!R3C11</stp>
        <tr r="K3" s="12"/>
      </tp>
      <tp>
        <v>-50.295699999999997</v>
        <stp/>
        <stp>##V3_BDPV12</stp>
        <stp>rub curncy</stp>
        <stp>chg PCt 5yr</stp>
        <stp>[Macro RPRR.xlsx]monitor!R93C18</stp>
        <tr r="R93" s="10"/>
      </tp>
      <tp>
        <v>-5.4421999999999997</v>
        <stp/>
        <stp>##V3_BDPV12</stp>
        <stp>sek curncy</stp>
        <stp>chg PCt 5yr</stp>
        <stp>[Macro RPRR.xlsx]monitor!R81C18</stp>
        <tr r="R81" s="10"/>
      </tp>
      <tp>
        <v>49.075421072467762</v>
        <stp/>
        <stp>##V3_BDPV12</stp>
        <stp>C 2 Comdty</stp>
        <stp>chg PCt 1yr</stp>
        <stp>[Macro RPRR.xlsx]monitor!R94C6</stp>
        <tr r="F94" s="10"/>
      </tp>
      <tp>
        <v>4.93</v>
        <stp/>
        <stp>##V3_BDPV12</stp>
        <stp>ehbbgb index</stp>
        <stp>CHG neT 1yr</stp>
        <stp>[Macro RPRR.xlsx]eco data!R46C7</stp>
        <tr r="G46" s="8"/>
        <tr r="G46" s="8"/>
      </tp>
      <tp>
        <v>70.906293095416288</v>
        <stp/>
        <stp>##V3_BDPV12</stp>
        <stp>C 2 Comdty</stp>
        <stp>chg PCt 5yr</stp>
        <stp>[Macro RPRR.xlsx]monitor!R94C7</stp>
        <tr r="G94" s="10"/>
      </tp>
      <tp>
        <v>-15.0191</v>
        <stp/>
        <stp>##V3_BDPV12</stp>
        <stp>jpy curncy</stp>
        <stp>chg PCt 5yr</stp>
        <stp>[Macro RPRR.xlsx]monitor!R82C18</stp>
        <tr r="R82" s="10"/>
      </tp>
      <tp>
        <v>-8.4504000000000001</v>
        <stp/>
        <stp>##V3_BDPV12</stp>
        <stp>krw curncy</stp>
        <stp>chg PCt 5yr</stp>
        <stp>[Macro RPRR.xlsx]monitor!R85C18</stp>
        <tr r="R85" s="10"/>
      </tp>
      <tp>
        <v>-15.5242</v>
        <stp/>
        <stp>##V3_BDPV12</stp>
        <stp>inr curncy</stp>
        <stp>chg PCt 5yr</stp>
        <stp>[Macro RPRR.xlsx]monitor!R91C18</stp>
        <tr r="R91" s="10"/>
      </tp>
      <tp>
        <v>-4.9273999999999996</v>
        <stp/>
        <stp>##V3_BDPV12</stp>
        <stp>nzd curncy</stp>
        <stp>chg PCt 5yr</stp>
        <stp>[Macro RPRR.xlsx]monitor!R84C18</stp>
        <tr r="R84" s="10"/>
      </tp>
      <tp>
        <v>-7.5739000000000001</v>
        <stp/>
        <stp>##V3_BDPV12</stp>
        <stp>mxn curncy</stp>
        <stp>chg PCt 5yr</stp>
        <stp>[Macro RPRR.xlsx]monitor!R89C18</stp>
        <tr r="R89" s="10"/>
      </tp>
      <tp>
        <v>-31.892399999999999</v>
        <stp/>
        <stp>##V3_BDPV12</stp>
        <stp>brl curncy</stp>
        <stp>chg PCt 5yr</stp>
        <stp>[Macro RPRR.xlsx]monitor!R88C18</stp>
        <tr r="R88" s="10"/>
      </tp>
      <tp>
        <v>4.3574000000000002</v>
        <stp/>
        <stp>##V3_BDPV12</stp>
        <stp>chf curncy</stp>
        <stp>chg PCt 5yr</stp>
        <stp>[Macro RPRR.xlsx]monitor!R79C18</stp>
        <tr r="R79" s="10"/>
      </tp>
      <tp>
        <v>5.9010999999999996</v>
        <stp/>
        <stp>##V3_BDPV12</stp>
        <stp>cny curncy</stp>
        <stp>chg PCt 5yr</stp>
        <stp>[Macro RPRR.xlsx]monitor!R90C18</stp>
        <tr r="R90" s="10"/>
      </tp>
      <tp>
        <v>-222.07</v>
        <stp/>
        <stp>##V3_BDPV12</stp>
        <stp>IVV EQUITY</stp>
        <stp>MF_tot_1W</stp>
        <stp>[Macro RPRR.xlsx]flows!R3C10</stp>
        <tr r="J3" s="12"/>
      </tp>
      <tp>
        <v>-3.1427999999999998</v>
        <stp/>
        <stp>##V3_BDPV12</stp>
        <stp>aud curncy</stp>
        <stp>chg PCt 5yr</stp>
        <stp>[Macro RPRR.xlsx]monitor!R83C18</stp>
        <tr r="R83" s="10"/>
      </tp>
      <tp>
        <v>85.228120000000004</v>
        <stp/>
        <stp>##V3_BDPV12</stp>
        <stp>VOO EQUITY</stp>
        <stp>MF_tot_1D</stp>
        <stp>[Macro RPRR.xlsx]flows!R5C9</stp>
        <tr r="I5" s="12"/>
      </tp>
      <tp>
        <v>0.6008</v>
        <stp/>
        <stp>##V3_BDPV12</stp>
        <stp>gbp curncy</stp>
        <stp>chg PCt 5yr</stp>
        <stp>[Macro RPRR.xlsx]monitor!R80C18</stp>
        <tr r="R80" s="10"/>
      </tp>
      <tp t="s">
        <v>Retail</v>
        <stp/>
        <stp>##V3_BDPV12</stp>
        <stp>NXT LN Equity</stp>
        <stp>industry group</stp>
        <stp>[Macro RPRR.xlsx]monitor!R31C34</stp>
        <tr r="AH31" s="10"/>
      </tp>
      <tp>
        <v>6.5266999999999999</v>
        <stp/>
        <stp>##V3_BDPV12</stp>
        <stp>CAD curncy</stp>
        <stp>chg PCt 5yr</stp>
        <stp>[Macro RPRR.xlsx]monitor!R73C18</stp>
        <tr r="R73" s="10"/>
      </tp>
      <tp>
        <v>0.73640000000000005</v>
        <stp/>
        <stp>##V3_BDPV12</stp>
        <stp>EUR curncy</stp>
        <stp>chg PCt 5yr</stp>
        <stp>[Macro RPRR.xlsx]monitor!R92C18</stp>
        <tr r="R92" s="10"/>
      </tp>
      <tp>
        <v>0.73640000000000005</v>
        <stp/>
        <stp>##V3_BDPV12</stp>
        <stp>EUR curncy</stp>
        <stp>chg PCt 5yr</stp>
        <stp>[Macro RPRR.xlsx]monitor!R78C18</stp>
        <tr r="R78" s="10"/>
      </tp>
      <tp>
        <v>0.73640000000000005</v>
        <stp/>
        <stp>##V3_BDPV12</stp>
        <stp>EUR curncy</stp>
        <stp>chg PCt 5yr</stp>
        <stp>[Macro RPRR.xlsx]monitor!R77C18</stp>
        <tr r="R77" s="10"/>
      </tp>
      <tp>
        <v>0.73640000000000005</v>
        <stp/>
        <stp>##V3_BDPV12</stp>
        <stp>EUR curncy</stp>
        <stp>chg PCt 5yr</stp>
        <stp>[Macro RPRR.xlsx]monitor!R76C18</stp>
        <tr r="R76" s="10"/>
      </tp>
      <tp>
        <v>0.73640000000000005</v>
        <stp/>
        <stp>##V3_BDPV12</stp>
        <stp>EUR curncy</stp>
        <stp>chg PCt 5yr</stp>
        <stp>[Macro RPRR.xlsx]monitor!R75C18</stp>
        <tr r="R75" s="10"/>
      </tp>
      <tp>
        <v>0.73640000000000005</v>
        <stp/>
        <stp>##V3_BDPV12</stp>
        <stp>EUR curncy</stp>
        <stp>chg PCt 5yr</stp>
        <stp>[Macro RPRR.xlsx]monitor!R74C18</stp>
        <tr r="R74" s="10"/>
      </tp>
      <tp>
        <v>-5.582084</v>
        <stp/>
        <stp>##V3_BDPV12</stp>
        <stp>S5FINL INDEX</stp>
        <stp>chg PCt 1m</stp>
        <stp>[Macro RPRR.xlsx]monitor!R37C6</stp>
        <tr r="F37" s="10"/>
      </tp>
      <tp>
        <v>-8.1859640000000002</v>
        <stp/>
        <stp>##V3_BDPV12</stp>
        <stp>S5FINL INDEX</stp>
        <stp>chg PCt 6m</stp>
        <stp>[Macro RPRR.xlsx]monitor!R37C7</stp>
        <tr r="G37" s="10"/>
      </tp>
      <tp t="s">
        <v>#N/A N/A</v>
        <stp/>
        <stp>##V3_BDPV12</stp>
        <stp>ehupeu index</stp>
        <stp>CHG neT 5d</stp>
        <stp>[Macro RPRR.xlsx]eco data!R22C5</stp>
        <tr r="E22" s="8"/>
      </tp>
      <tp>
        <v>1.2</v>
        <stp/>
        <stp>##V3_BDPV12</stp>
        <stp>jncpiyoy INDEX</stp>
        <stp>px last</stp>
        <stp>[Macro RPRR.xlsx]EU countries!R21C15</stp>
        <tr r="O21" s="11"/>
      </tp>
      <tp>
        <v>1281.4849999999999</v>
        <stp/>
        <stp>##V3_BDPV12</stp>
        <stp>wgdpspa index</stp>
        <stp>px last</stp>
        <stp>[Macro RPRR.xlsx]EU countries!R10C10</stp>
        <tr r="J10" s="11"/>
      </tp>
      <tp t="s">
        <v>#N/A N/A</v>
        <stp/>
        <stp>##V3_BDPV12</stp>
        <stp>ehupeu index</stp>
        <stp>CHG neT 1m</stp>
        <stp>[Macro RPRR.xlsx]eco data!R22C6</stp>
        <tr r="F22" s="8"/>
      </tp>
      <tp>
        <v>349.0634</v>
        <stp/>
        <stp>##V3_BDPV12</stp>
        <stp>EWI US EQUITY</stp>
        <stp>Fund Total Assets</stp>
        <stp>[Macro RPRR.xlsx]flows!R25C8</stp>
        <tr r="H25" s="12"/>
      </tp>
      <tp>
        <v>13021.049000000001</v>
        <stp/>
        <stp>##V3_BDPV12</stp>
        <stp>wgdpeur index</stp>
        <stp>px last</stp>
        <stp>[Macro RPRR.xlsx]EU countries!R29C11</stp>
        <tr r="K29" s="11"/>
      </tp>
      <tp>
        <v>13021.049000000001</v>
        <stp/>
        <stp>##V3_BDPV12</stp>
        <stp>wgdpeur index</stp>
        <stp>px last</stp>
        <stp>[Macro RPRR.xlsx]EU countries!R28C11</stp>
        <tr r="K28" s="11"/>
      </tp>
      <tp>
        <v>13021.049000000001</v>
        <stp/>
        <stp>##V3_BDPV12</stp>
        <stp>wgdpeur index</stp>
        <stp>px last</stp>
        <stp>[Macro RPRR.xlsx]EU countries!R23C11</stp>
        <tr r="K23" s="11"/>
      </tp>
      <tp>
        <v>13021.049000000001</v>
        <stp/>
        <stp>##V3_BDPV12</stp>
        <stp>wgdpeur index</stp>
        <stp>px last</stp>
        <stp>[Macro RPRR.xlsx]EU countries!R22C11</stp>
        <tr r="K22" s="11"/>
      </tp>
      <tp>
        <v>13021.049000000001</v>
        <stp/>
        <stp>##V3_BDPV12</stp>
        <stp>wgdpeur index</stp>
        <stp>px last</stp>
        <stp>[Macro RPRR.xlsx]EU countries!R21C11</stp>
        <tr r="K21" s="11"/>
      </tp>
      <tp>
        <v>13021.049000000001</v>
        <stp/>
        <stp>##V3_BDPV12</stp>
        <stp>wgdpeur index</stp>
        <stp>px last</stp>
        <stp>[Macro RPRR.xlsx]EU countries!R20C11</stp>
        <tr r="K20" s="11"/>
      </tp>
      <tp>
        <v>13021.049000000001</v>
        <stp/>
        <stp>##V3_BDPV12</stp>
        <stp>wgdpeur index</stp>
        <stp>px last</stp>
        <stp>[Macro RPRR.xlsx]EU countries!R27C11</stp>
        <tr r="K27" s="11"/>
      </tp>
      <tp>
        <v>13021.049000000001</v>
        <stp/>
        <stp>##V3_BDPV12</stp>
        <stp>wgdpeur index</stp>
        <stp>px last</stp>
        <stp>[Macro RPRR.xlsx]EU countries!R24C11</stp>
        <tr r="K24" s="11"/>
      </tp>
      <tp>
        <v>13021.049000000001</v>
        <stp/>
        <stp>##V3_BDPV12</stp>
        <stp>wgdpeur index</stp>
        <stp>px last</stp>
        <stp>[Macro RPRR.xlsx]EU countries!R31C11</stp>
        <tr r="K31" s="11"/>
      </tp>
      <tp>
        <v>13021.049000000001</v>
        <stp/>
        <stp>##V3_BDPV12</stp>
        <stp>wgdpeur index</stp>
        <stp>px last</stp>
        <stp>[Macro RPRR.xlsx]EU countries!R30C11</stp>
        <tr r="K30" s="11"/>
      </tp>
      <tp>
        <v>13021.049000000001</v>
        <stp/>
        <stp>##V3_BDPV12</stp>
        <stp>wgdpeur index</stp>
        <stp>px last</stp>
        <stp>[Macro RPRR.xlsx]EU countries!R19C11</stp>
        <tr r="K19" s="11"/>
      </tp>
      <tp>
        <v>13021.049000000001</v>
        <stp/>
        <stp>##V3_BDPV12</stp>
        <stp>wgdpeur index</stp>
        <stp>px last</stp>
        <stp>[Macro RPRR.xlsx]EU countries!R18C11</stp>
        <tr r="K18" s="11"/>
      </tp>
      <tp>
        <v>433.25799999999998</v>
        <stp/>
        <stp>##V3_BDPV12</stp>
        <stp>wgdpaST index</stp>
        <stp>px last</stp>
        <stp>[Macro RPRR.xlsx]EU countries!R29C10</stp>
        <tr r="J29" s="11"/>
      </tp>
      <tp t="s">
        <v>#N/A N/A</v>
        <stp/>
        <stp>##V3_BDPV12</stp>
        <stp>spnagdpy index</stp>
        <stp>CHG neT 5d</stp>
        <stp>[Macro RPRR.xlsx]eco data!R19C14</stp>
        <tr r="N19" s="8"/>
      </tp>
      <tp>
        <v>-1.87341</v>
        <stp/>
        <stp>##V3_BDPV12</stp>
        <stp>SX6E index</stp>
        <stp>chg PCt 6m</stp>
        <stp>[Macro RPRR.xlsx]monitor!R53C17</stp>
        <tr r="Q53" s="10"/>
      </tp>
      <tp>
        <v>5057.759</v>
        <stp/>
        <stp>##V3_BDPV12</stp>
        <stp>wgdpjap index</stp>
        <stp>px last</stp>
        <stp>[Macro RPRR.xlsx]EU countries!R21C10</stp>
        <tr r="J21" s="11"/>
      </tp>
      <tp>
        <v>2.829218</v>
        <stp/>
        <stp>##V3_BDPV12</stp>
        <stp>SX6E index</stp>
        <stp>chg PCt 1m</stp>
        <stp>[Macro RPRR.xlsx]monitor!R53C16</stp>
        <tr r="P53" s="10"/>
      </tp>
      <tp>
        <v>9.5000000000000001E-2</v>
        <stp/>
        <stp>##V3_BDPV12</stp>
        <stp>gbtp2yr index</stp>
        <stp>CHG neT 5d</stp>
        <stp>[Macro RPRR.xlsx]eco data!R38C14</stp>
        <tr r="N38" s="8"/>
      </tp>
      <tp>
        <v>9.8000000000000007</v>
        <stp/>
        <stp>##V3_BDPV12</stp>
        <stp>ECCPesY INDEX</stp>
        <stp>px last</stp>
        <stp>[Macro RPRR.xlsx]EU countries!R10C15</stp>
        <tr r="O10" s="11"/>
      </tp>
      <tp>
        <v>8</v>
        <stp/>
        <stp>##V3_BDPV12</stp>
        <stp>ECCPgrY INDEX</stp>
        <stp>px last</stp>
        <stp>[Macro RPRR.xlsx]EU countries!R12C15</stp>
        <tr r="O12" s="11"/>
      </tp>
      <tp>
        <v>541.22</v>
        <stp/>
        <stp>##V3_BDPV12</stp>
        <stp>wgdpSWE index</stp>
        <stp>px last</stp>
        <stp>[Macro RPRR.xlsx]EU countries!R28C10</stp>
        <tr r="J28" s="11"/>
      </tp>
      <tp>
        <v>11.7</v>
        <stp/>
        <stp>##V3_BDPV12</stp>
        <stp>ECCPnlY INDEX</stp>
        <stp>px last</stp>
        <stp>[Macro RPRR.xlsx]EU countries!R11C15</stp>
        <tr r="O11" s="11"/>
      </tp>
      <tp>
        <v>6.9</v>
        <stp/>
        <stp>##V3_BDPV12</stp>
        <stp>ECCPieY INDEX</stp>
        <stp>px last</stp>
        <stp>[Macro RPRR.xlsx]EU countries!R14C15</stp>
        <tr r="O14" s="11"/>
      </tp>
      <tp>
        <v>0.63100000000000001</v>
        <stp/>
        <stp>##V3_BDPV12</stp>
        <stp>gspt2yr index</stp>
        <stp>CHG neT 1m</stp>
        <stp>[Macro RPRR.xlsx]eco data!R12C15</stp>
        <tr r="O12" s="8"/>
      </tp>
      <tp>
        <v>14.20290909670781</v>
        <stp/>
        <stp>##V3_BDPV12</stp>
        <stp>S5FINL INDEX</stp>
        <stp>best pe ratio</stp>
        <stp>[Macro RPRR.xlsx]monitor!R37C3</stp>
        <tr r="C37" s="10"/>
      </tp>
      <tp>
        <v>1444.7329999999999</v>
        <stp/>
        <stp>##V3_BDPV12</stp>
        <stp>wgdpBRA index</stp>
        <stp>px last</stp>
        <stp>[Macro RPRR.xlsx]EU countries!R24C10</stp>
        <tr r="J24" s="11"/>
      </tp>
      <tp>
        <v>5.5</v>
        <stp/>
        <stp>##V3_BDPV12</stp>
        <stp>ECCPptY INDEX</stp>
        <stp>px last</stp>
        <stp>[Macro RPRR.xlsx]EU countries!R13C15</stp>
        <tr r="O13" s="11"/>
      </tp>
      <tp>
        <v>1645.423</v>
        <stp/>
        <stp>##V3_BDPV12</stp>
        <stp>wgdpCAN index</stp>
        <stp>px last</stp>
        <stp>[Macro RPRR.xlsx]EU countries!R27C10</stp>
        <tr r="J27" s="11"/>
      </tp>
      <tp>
        <v>0.42699999999999999</v>
        <stp/>
        <stp>##V3_BDPV12</stp>
        <stp>gspg2yr index</stp>
        <stp>CHG neT 1m</stp>
        <stp>[Macro RPRR.xlsx]eco data!R25C15</stp>
        <tr r="O25" s="8"/>
      </tp>
      <tp>
        <v>0.67115550000000002</v>
        <stp/>
        <stp>##V3_BDPV12</stp>
        <stp>IBEX index</stp>
        <stp>chg PCt 1yr</stp>
        <stp>[Macro RPRR.xlsx]monitor!R9C16</stp>
        <tr r="P9" s="10"/>
      </tp>
      <tp>
        <v>-16.017150000000001</v>
        <stp/>
        <stp>##V3_BDPV12</stp>
        <stp>IBEX index</stp>
        <stp>chg PCt 5yr</stp>
        <stp>[Macro RPRR.xlsx]monitor!R9C17</stp>
        <tr r="Q9" s="10"/>
      </tp>
      <tp>
        <v>14239.28</v>
        <stp/>
        <stp>##V3_BDPV12</stp>
        <stp>SLV EQUITY</stp>
        <stp>Fund Total Assets</stp>
        <stp>[Macro RPRR.xlsx]flows!R18C8</stp>
        <tr r="H18" s="12"/>
      </tp>
      <tp>
        <v>150.80000000000001</v>
        <stp/>
        <stp>##V3_BDPV12</stp>
        <stp>EUdb60it index</stp>
        <stp>px last</stp>
        <stp>[Macro RPRR.xlsx]EU countries!R9C17</stp>
        <tr r="Q9" s="11"/>
      </tp>
      <tp>
        <v>1.800503</v>
        <stp/>
        <stp>##V3_BDPV12</stp>
        <stp>AS51 index</stp>
        <stp>chg PCt 1m</stp>
        <stp>[Macro RPRR.xlsx]monitor!R15C14</stp>
        <tr r="N15" s="10"/>
      </tp>
      <tp>
        <v>0.77948799999999996</v>
        <stp/>
        <stp>##V3_BDPV12</stp>
        <stp>AS51 index</stp>
        <stp>chg PCt 6m</stp>
        <stp>[Macro RPRR.xlsx]monitor!R15C15</stp>
        <tr r="O15" s="10"/>
      </tp>
      <tp t="s">
        <v>#N/A N/A</v>
        <stp/>
        <stp>##V3_BDPV12</stp>
        <stp>ehcaeu index</stp>
        <stp>CHG neT 5d</stp>
        <stp>[Macro RPRR.xlsx]eco data!R21C5</stp>
        <tr r="E21" s="8"/>
      </tp>
      <tp>
        <v>4.13</v>
        <stp/>
        <stp>##V3_BDPV12</stp>
        <stp>ehupgb index</stp>
        <stp>px last</stp>
        <stp>[Macro RPRR.xlsx]eco data!R48C4</stp>
        <tr r="D48" s="8"/>
      </tp>
      <tp t="s">
        <v>#N/A N/A</v>
        <stp/>
        <stp>##V3_BDPV12</stp>
        <stp>ehcaeu index</stp>
        <stp>CHG neT 1m</stp>
        <stp>[Macro RPRR.xlsx]eco data!R21C6</stp>
        <tr r="F21" s="8"/>
      </tp>
      <tp t="s">
        <v>#N/A N/A</v>
        <stp/>
        <stp>##V3_BDPV12</stp>
        <stp>EUGNEMUQ index</stp>
        <stp>CHG neT 1m</stp>
        <stp>[Macro RPRR.xlsx]eco data!R32C15</stp>
        <tr r="O32" s="8"/>
      </tp>
      <tp>
        <v>-6.3401719999999999</v>
        <stp/>
        <stp>##V3_BDPV12</stp>
        <stp>S5INft INDEX</stp>
        <stp>chg PCt 1m</stp>
        <stp>[Macro RPRR.xlsx]monitor!R43C6</stp>
        <tr r="F43" s="10"/>
      </tp>
      <tp>
        <v>-7.198315</v>
        <stp/>
        <stp>##V3_BDPV12</stp>
        <stp>S5INft INDEX</stp>
        <stp>chg PCt 6m</stp>
        <stp>[Macro RPRR.xlsx]monitor!R43C7</stp>
        <tr r="G43" s="10"/>
      </tp>
      <tp>
        <v>11.904299999999999</v>
        <stp/>
        <stp>##V3_BDPV12</stp>
        <stp>SX5E index</stp>
        <stp>chg PCt 5yr</stp>
        <stp>[Macro RPRR.xlsx]monitor!R73C7</stp>
        <tr r="G73" s="10"/>
      </tp>
      <tp>
        <v>-4.1095439999999996</v>
        <stp/>
        <stp>##V3_BDPV12</stp>
        <stp>SX5E index</stp>
        <stp>chg PCt 1yr</stp>
        <stp>[Macro RPRR.xlsx]monitor!R73C6</stp>
        <tr r="F73" s="10"/>
      </tp>
      <tp t="s">
        <v>ISHARES MSCI ITALY ETF</v>
        <stp/>
        <stp>##V3_BDPV12</stp>
        <stp>EWI US EQUITY</stp>
        <stp>Name</stp>
        <stp>[Macro RPRR.xlsx]flows!R25C3</stp>
        <tr r="C25" s="12"/>
      </tp>
      <tp>
        <v>1.7607900000000001</v>
        <stp/>
        <stp>##V3_BDPV12</stp>
        <stp>gtgbp2y govt</stp>
        <stp>bid yield</stp>
        <stp>[Macro RPRR.xlsx]eco data!R51C4</stp>
        <tr r="D51" s="8"/>
      </tp>
      <tp>
        <v>-0.29499999999999998</v>
        <stp/>
        <stp>##V3_BDPV12</stp>
        <stp>shif3m index</stp>
        <stp>CHG neT 1yr</stp>
        <stp>[Macro RPRR.xlsx]eco data!R24C25</stp>
        <tr r="Y24" s="8"/>
        <tr r="Y24" s="8"/>
      </tp>
      <tp>
        <v>31.438800000000001</v>
        <stp/>
        <stp>##V3_BDPV12</stp>
        <stp>RSX EQUITY</stp>
        <stp>Fund Total Assets</stp>
        <stp>[Macro RPRR.xlsx]flows!R37C8</stp>
        <tr r="H37" s="12"/>
      </tp>
      <tp>
        <v>2.8410000000000002</v>
        <stp/>
        <stp>##V3_BDPV12</stp>
        <stp>GCAN30 index</stp>
        <stp>LAST TRADE</stp>
        <stp>[Macro RPRR.xlsx]carry+rd!R10C17</stp>
        <tr r="Q10" s="1"/>
      </tp>
      <tp t="s">
        <v>Pharmaceuticals</v>
        <stp/>
        <stp>##V3_BDPV12</stp>
        <stp>AZN LN Equity</stp>
        <stp>industry group</stp>
        <stp>[Macro RPRR.xlsx]monitor!R92C34</stp>
        <tr r="AH92" s="10"/>
      </tp>
      <tp t="s">
        <v>#N/A N/A</v>
        <stp/>
        <stp>##V3_BDPV12</stp>
        <stp>ehbbeu index</stp>
        <stp>CHG neT 5d</stp>
        <stp>[Macro RPRR.xlsx]eco data!R20C5</stp>
        <tr r="E20" s="8"/>
      </tp>
      <tp t="s">
        <v>#N/A N/A</v>
        <stp/>
        <stp>##V3_BDPV12</stp>
        <stp>ehbbeu index</stp>
        <stp>CHG neT 1m</stp>
        <stp>[Macro RPRR.xlsx]eco data!R20C6</stp>
        <tr r="F20" s="8"/>
      </tp>
      <tp t="s">
        <v>ISHARES EURO GOVT 3-5Y</v>
        <stp/>
        <stp>##V3_BDPV12</stp>
        <stp>IBGX LN EQUITY</stp>
        <stp>Name</stp>
        <stp>[Macro RPRR.xlsx]flows!R29C3</stp>
        <tr r="C29" s="12"/>
      </tp>
      <tp>
        <v>-0.1008655</v>
        <stp/>
        <stp>##V3_BDPV12</stp>
        <stp>SX4E index</stp>
        <stp>chg PCt 6m</stp>
        <stp>[Macro RPRR.xlsx]monitor!R45C17</stp>
        <tr r="Q45" s="10"/>
      </tp>
      <tp>
        <v>2.7107070000000002</v>
        <stp/>
        <stp>##V3_BDPV12</stp>
        <stp>SX4E index</stp>
        <stp>chg PCt 1m</stp>
        <stp>[Macro RPRR.xlsx]monitor!R45C16</stp>
        <tr r="P45" s="10"/>
      </tp>
      <tp>
        <v>0.94499999999999995</v>
        <stp/>
        <stp>##V3_BDPV12</stp>
        <stp>gspt2yr index</stp>
        <stp>CHG neT 1yr</stp>
        <stp>[Macro RPRR.xlsx]eco data!R12C16</stp>
        <tr r="P12" s="8"/>
        <tr r="P12" s="8"/>
      </tp>
      <tp>
        <v>9.9256999999999991</v>
        <stp/>
        <stp>##V3_BDPV12</stp>
        <stp>micxru10 index</stp>
        <stp>px last</stp>
        <stp>[Macro RPRR.xlsx]monitor!R25C3</stp>
        <tr r="C25" s="10"/>
      </tp>
      <tp>
        <v>7.6944758072974615</v>
        <stp/>
        <stp>##V3_BDPV12</stp>
        <stp>GC2 Comdty</stp>
        <stp>chg PCt 1yr</stp>
        <stp>[Macro RPRR.xlsx]monitor!R89C6</stp>
        <tr r="F89" s="10"/>
      </tp>
      <tp>
        <v>35.6281160911049</v>
        <stp/>
        <stp>##V3_BDPV12</stp>
        <stp>GC2 Comdty</stp>
        <stp>chg PCt 5yr</stp>
        <stp>[Macro RPRR.xlsx]monitor!R89C7</stp>
        <tr r="G89" s="10"/>
      </tp>
      <tp>
        <v>15.389148920096726</v>
        <stp/>
        <stp>##V3_BDPV12</stp>
        <stp>PSI20 index</stp>
        <stp>best pe ratio</stp>
        <stp>[Macro RPRR.xlsx]eco data!R15C13</stp>
        <tr r="M15" s="8"/>
      </tp>
      <tp>
        <v>0.128</v>
        <stp/>
        <stp>##V3_BDPV12</stp>
        <stp>gspg10yr index</stp>
        <stp>CHG neT 5d</stp>
        <stp>[Macro RPRR.xlsx]eco data!R26C14</stp>
        <tr r="N26" s="8"/>
      </tp>
      <tp>
        <v>33.76623</v>
        <stp/>
        <stp>##V3_BDPV12</stp>
        <stp>BND EQUITY</stp>
        <stp>MF_tot_1D</stp>
        <stp>[Macro RPRR.xlsx]flows!R9C9</stp>
        <tr r="I9" s="12"/>
      </tp>
      <tp>
        <v>1.06755</v>
        <stp/>
        <stp>##V3_BDPV12</stp>
        <stp>bp0003m index</stp>
        <stp>CHG neT 1yr</stp>
        <stp>[Macro RPRR.xlsx]eco data!R50C7</stp>
        <tr r="G50" s="8"/>
        <tr r="G50" s="8"/>
      </tp>
      <tp t="s">
        <v>Water</v>
        <stp/>
        <stp>##V3_BDPV12</stp>
        <stp>UU/ LN Equity</stp>
        <stp>industry group</stp>
        <stp>[Macro RPRR.xlsx]monitor!R98C34</stp>
        <tr r="AH98" s="10"/>
      </tp>
      <tp>
        <v>53.973269999999999</v>
        <stp/>
        <stp>##V3_BDPV12</stp>
        <stp>sml index</stp>
        <stp>chg PCt 5yr</stp>
        <stp>[Macro RPRR.xlsx]monitor!R79C7</stp>
        <tr r="G79" s="10"/>
      </tp>
      <tp>
        <v>-2.5229249999999999</v>
        <stp/>
        <stp>##V3_BDPV12</stp>
        <stp>sml index</stp>
        <stp>chg PCt 1yr</stp>
        <stp>[Macro RPRR.xlsx]monitor!R79C6</stp>
        <tr r="F79" s="10"/>
      </tp>
      <tp>
        <v>70.2</v>
        <stp/>
        <stp>##V3_BDPV12</stp>
        <stp>gddbINDA index</stp>
        <stp>px last</stp>
        <stp>[Macro RPRR.xlsx]EU countries!R23C17</stp>
        <tr r="Q23" s="11"/>
      </tp>
      <tp>
        <v>-0.81002589999999997</v>
        <stp/>
        <stp>##V3_BDPV12</stp>
        <stp>FTSEMIB INDEX</stp>
        <stp>CHG PCT 1M</stp>
        <stp>[Macro RPRR.xlsx]eco data!R41C15</stp>
        <tr r="O41" s="8"/>
      </tp>
      <tp>
        <v>85.729211637279491</v>
        <stp/>
        <stp>##V3_BDPV12</stp>
        <stp>CL2 Comdty</stp>
        <stp>chg PCt 1yr</stp>
        <stp>[Macro RPRR.xlsx]monitor!R88C6</stp>
        <tr r="F88" s="10"/>
      </tp>
      <tp>
        <v>26.701219260456689</v>
        <stp/>
        <stp>##V3_BDPV12</stp>
        <stp>CL2 Comdty</stp>
        <stp>chg PCt 5yr</stp>
        <stp>[Macro RPRR.xlsx]monitor!R88C7</stp>
        <tr r="G88" s="10"/>
      </tp>
      <tp>
        <v>32801.55078125</v>
        <stp/>
        <stp>##V3_BDPV12</stp>
        <stp>TIP EQUITY</stp>
        <stp>Fund Total Assets</stp>
        <stp>[Macro RPRR.xlsx]flows!R11C8</stp>
        <tr r="H11" s="12"/>
      </tp>
      <tp t="s">
        <v>Lodging</v>
        <stp/>
        <stp>##V3_BDPV12</stp>
        <stp>WTB LN Equity</stp>
        <stp>industry group</stp>
        <stp>[Macro RPRR.xlsx]monitor!R53C34</stp>
        <tr r="AH53" s="10"/>
      </tp>
      <tp t="s">
        <v>Diversified Finan Serv</v>
        <stp/>
        <stp>##V3_BDPV12</stp>
        <stp>STJ LN Equity</stp>
        <stp>industry group</stp>
        <stp>[Macro RPRR.xlsx]monitor!R22C34</stp>
        <tr r="AH22" s="10"/>
      </tp>
      <tp t="s">
        <v>Commercial Services</v>
        <stp/>
        <stp>##V3_BDPV12</stp>
        <stp>RTO LN Equity</stp>
        <stp>industry group</stp>
        <stp>[Macro RPRR.xlsx]monitor!R67C34</stp>
        <tr r="AH67" s="10"/>
      </tp>
      <tp>
        <v>0.95254000000000005</v>
        <stp/>
        <stp>##V3_BDPV12</stp>
        <stp>us0003m index</stp>
        <stp>CHG neT 1yr</stp>
        <stp>[Macro RPRR.xlsx]eco data!R11C7</stp>
        <tr r="G11" s="8"/>
        <tr r="G11" s="8"/>
      </tp>
      <tp>
        <v>0.59199999999999997</v>
        <stp/>
        <stp>##V3_BDPV12</stp>
        <stp>gbtp10 index</stp>
        <stp>chg net 1m</stp>
        <stp>[Macro RPRR.xlsx]monitor!R8C4</stp>
        <tr r="D8" s="10"/>
      </tp>
      <tp>
        <v>1.6</v>
        <stp/>
        <stp>##V3_BDPV12</stp>
        <stp>gbtp10 index</stp>
        <stp>chg net 6m</stp>
        <stp>[Macro RPRR.xlsx]monitor!R8C5</stp>
        <tr r="E8" s="10"/>
      </tp>
      <tp t="s">
        <v>Commercial Services</v>
        <stp/>
        <stp>##V3_BDPV12</stp>
        <stp>AHT LN Equity</stp>
        <stp>industry group</stp>
        <stp>[Macro RPRR.xlsx]monitor!R5C34</stp>
        <tr r="AH5" s="10"/>
      </tp>
      <tp>
        <v>6.8</v>
        <stp/>
        <stp>##V3_BDPV12</stp>
        <stp>umrtemu index</stp>
        <stp>px last</stp>
        <stp>[Macro RPRR.xlsx]EU countries!R5C16</stp>
        <tr r="P5" s="11"/>
      </tp>
      <tp>
        <v>-2465.58</v>
        <stp/>
        <stp>##V3_BDPV12</stp>
        <stp>SPY EQUITY</stp>
        <stp>MF_tot_1M</stp>
        <stp>[Macro RPRR.xlsx]flows!R2C11</stp>
        <tr r="K2" s="12"/>
      </tp>
      <tp>
        <v>61.23</v>
        <stp/>
        <stp>##V3_BDPV12</stp>
        <stp>SPY EQUITY</stp>
        <stp>MF_tot_1W</stp>
        <stp>[Macro RPRR.xlsx]flows!R2C10</stp>
        <tr r="J2" s="12"/>
      </tp>
      <tp t="s">
        <v>Banks</v>
        <stp/>
        <stp>##V3_BDPV12</stp>
        <stp>NWG LN Equity</stp>
        <stp>industry group</stp>
        <stp>[Macro RPRR.xlsx]monitor!R24C34</stp>
        <tr r="AH24" s="10"/>
      </tp>
      <tp t="s">
        <v>Home Builders</v>
        <stp/>
        <stp>##V3_BDPV12</stp>
        <stp>TW/ LN Equity</stp>
        <stp>industry group</stp>
        <stp>[Macro RPRR.xlsx]monitor!R37C34</stp>
        <tr r="AH37" s="10"/>
      </tp>
      <tp t="s">
        <v>#N/A N/A</v>
        <stp/>
        <stp>##V3_BDPV12</stp>
        <stp>CNBI3MO index</stp>
        <stp>CHG neT 1m</stp>
        <stp>[Macro RPRR.xlsx]eco data!R23C24</stp>
        <tr r="X23" s="8"/>
      </tp>
      <tp t="s">
        <v>ISHARES CORE UK GILTS</v>
        <stp/>
        <stp>##V3_BDPV12</stp>
        <stp>IGLT LN EQUITY</stp>
        <stp>Name</stp>
        <stp>[Macro RPRR.xlsx]flows!R31C3</stp>
        <tr r="C31" s="12"/>
      </tp>
      <tp>
        <v>19.162590507967018</v>
        <stp/>
        <stp>##V3_BDPV12</stp>
        <stp>mwmftr index</stp>
        <stp>best pe ratio</stp>
        <stp>[Macro RPRR.xlsx]monitor!R83C3</stp>
        <tr r="C83" s="10"/>
      </tp>
      <tp>
        <v>-1.9</v>
        <stp/>
        <stp>##V3_BDPV12</stp>
        <stp>EUbdirel index</stp>
        <stp>px last</stp>
        <stp>[Macro RPRR.xlsx]EU countries!R14C18</stp>
        <tr r="R14" s="11"/>
      </tp>
      <tp>
        <v>0.95199999999999996</v>
        <stp/>
        <stp>##V3_BDPV12</stp>
        <stp>gswiss10 index</stp>
        <stp>chg net 6m</stp>
        <stp>[Macro RPRR.xlsx]monitor!R11C5</stp>
        <tr r="E11" s="10"/>
      </tp>
      <tp>
        <v>0.42199999999999999</v>
        <stp/>
        <stp>##V3_BDPV12</stp>
        <stp>gswiss10 index</stp>
        <stp>chg net 1m</stp>
        <stp>[Macro RPRR.xlsx]monitor!R11C4</stp>
        <tr r="D11" s="10"/>
      </tp>
      <tp>
        <v>38.65598</v>
        <stp/>
        <stp>##V3_BDPV12</stp>
        <stp>SPTSX index</stp>
        <stp>chg PCt 5yr</stp>
        <stp>[Macro RPRR.xlsx]monitor!R5C17</stp>
        <tr r="Q5" s="10"/>
      </tp>
      <tp>
        <v>13.76008</v>
        <stp/>
        <stp>##V3_BDPV12</stp>
        <stp>SPTSX index</stp>
        <stp>chg PCt 1yr</stp>
        <stp>[Macro RPRR.xlsx]monitor!R5C16</stp>
        <tr r="P5" s="10"/>
      </tp>
      <tp>
        <v>32399.39</v>
        <stp/>
        <stp>##V3_BDPV12</stp>
        <stp>IAU EQUITY</stp>
        <stp>Fund Total Assets</stp>
        <stp>[Macro RPRR.xlsx]flows!R16C8</stp>
        <tr r="H16" s="12"/>
      </tp>
      <tp>
        <v>-0.97</v>
        <stp/>
        <stp>##V3_BDPV12</stp>
        <stp>ehupgb index</stp>
        <stp>CHG neT 1yr</stp>
        <stp>[Macro RPRR.xlsx]eco data!R48C7</stp>
        <tr r="G48" s="8"/>
        <tr r="G48" s="8"/>
      </tp>
      <tp>
        <v>-25.01746</v>
        <stp/>
        <stp>##V3_BDPV12</stp>
        <stp>IAG LN Equity</stp>
        <stp>chg PCt 1yr</stp>
        <stp>[Macro RPRR.xlsx]monitor!R3C32</stp>
        <tr r="AF3" s="10"/>
      </tp>
      <tp t="s">
        <v>Iron/Steel</v>
        <stp/>
        <stp>##V3_BDPV12</stp>
        <stp>EVR LN Equity</stp>
        <stp>industry group</stp>
        <stp>[Macro RPRR.xlsx]monitor!R28C34</stp>
        <tr r="AH28" s="10"/>
      </tp>
      <tp t="s">
        <v>Software</v>
        <stp/>
        <stp>##V3_BDPV12</stp>
        <stp>AVV LN Equity</stp>
        <stp>industry group</stp>
        <stp>[Macro RPRR.xlsx]monitor!R73C34</stp>
        <tr r="AH73" s="10"/>
      </tp>
      <tp t="s">
        <v>Water</v>
        <stp/>
        <stp>##V3_BDPV12</stp>
        <stp>SVT LN Equity</stp>
        <stp>industry group</stp>
        <stp>[Macro RPRR.xlsx]monitor!R96C34</stp>
        <tr r="AH96" s="10"/>
      </tp>
      <tp>
        <v>1.984</v>
        <stp/>
        <stp>##V3_BDPV12</stp>
        <stp>GUKG10 index</stp>
        <stp>LAST TRADE</stp>
        <stp>[Macro RPRR.xlsx]carry+rd!R9C8</stp>
        <tr r="H9" s="1"/>
      </tp>
      <tp t="s">
        <v>Insurance</v>
        <stp/>
        <stp>##V3_BDPV12</stp>
        <stp>AV/ LN Equity</stp>
        <stp>industry group</stp>
        <stp>[Macro RPRR.xlsx]monitor!R40C34</stp>
        <tr r="AH40" s="10"/>
      </tp>
      <tp>
        <v>-20.438479999999998</v>
        <stp/>
        <stp>##V3_BDPV12</stp>
        <stp>SX8E index</stp>
        <stp>chg PCt 6m</stp>
        <stp>[Macro RPRR.xlsx]monitor!R52C17</stp>
        <tr r="Q52" s="10"/>
      </tp>
      <tp>
        <v>-9.0217650000000003</v>
        <stp/>
        <stp>##V3_BDPV12</stp>
        <stp>SX8E index</stp>
        <stp>chg PCt 1m</stp>
        <stp>[Macro RPRR.xlsx]monitor!R52C16</stp>
        <tr r="P52" s="10"/>
      </tp>
      <tp>
        <v>0.104</v>
        <stp/>
        <stp>##V3_BDPV12</stp>
        <stp>gdbr10 index</stp>
        <stp>CHG neT 5d</stp>
        <stp>[Macro RPRR.xlsx]eco data!R13C23</stp>
        <tr r="W13" s="8"/>
      </tp>
      <tp>
        <v>2630.3180000000002</v>
        <stp/>
        <stp>##V3_BDPV12</stp>
        <stp>wgdpfra index</stp>
        <stp>px last</stp>
        <stp>[Macro RPRR.xlsx]EU countries!R8C10</stp>
        <tr r="J8" s="11"/>
      </tp>
      <tp>
        <v>3.4</v>
        <stp/>
        <stp>##V3_BDPV12</stp>
        <stp>EUbdsp index</stp>
        <stp>CHG neT 1yr</stp>
        <stp>[Macro RPRR.xlsx]eco data!R33C16</stp>
        <tr r="P33" s="8"/>
        <tr r="P33" s="8"/>
      </tp>
      <tp>
        <v>3.4</v>
        <stp/>
        <stp>##V3_BDPV12</stp>
        <stp>EUbdsp index</stp>
        <stp>CHG neT 1yr</stp>
        <stp>[Macro RPRR.xlsx]eco data!R20C16</stp>
        <tr r="P20" s="8"/>
        <tr r="P20" s="8"/>
      </tp>
      <tp>
        <v>2.4</v>
        <stp/>
        <stp>##V3_BDPV12</stp>
        <stp>EUbdFR index</stp>
        <stp>CHG neT 1yr</stp>
        <stp>[Macro RPRR.xlsx]eco data!R46C16</stp>
        <tr r="P46" s="8"/>
        <tr r="P46" s="8"/>
      </tp>
      <tp>
        <v>1.5899999999999999</v>
        <stp/>
        <stp>##V3_BDPV12</stp>
        <stp>ehbbru index</stp>
        <stp>CHG neT 1yr</stp>
        <stp>[Macro RPRR.xlsx]eco data!R33C25</stp>
        <tr r="Y33" s="8"/>
        <tr r="Y33" s="8"/>
      </tp>
      <tp>
        <v>19.871739999999999</v>
        <stp/>
        <stp>##V3_BDPV12</stp>
        <stp>VEA EQUITY</stp>
        <stp>MF_tot_1D</stp>
        <stp>[Macro RPRR.xlsx]flows!R6C9</stp>
        <tr r="I6" s="12"/>
      </tp>
      <tp>
        <v>1.198</v>
        <stp/>
        <stp>##V3_BDPV12</stp>
        <stp>gdbr10 index</stp>
        <stp>CHG neT 1yr</stp>
        <stp>[Macro RPRR.xlsx]eco data!R13C25</stp>
        <tr r="Y13" s="8"/>
        <tr r="Y13" s="8"/>
      </tp>
      <tp>
        <v>0.48799999999999999</v>
        <stp/>
        <stp>##V3_BDPV12</stp>
        <stp>gspg10yr index</stp>
        <stp>CHG neT 1m</stp>
        <stp>[Macro RPRR.xlsx]eco data!R26C15</stp>
        <tr r="O26" s="8"/>
      </tp>
      <tp t="s">
        <v>#N/A N/A</v>
        <stp/>
        <stp>##V3_BDPV12</stp>
        <stp>ehcajp index</stp>
        <stp>CHG neT 1m</stp>
        <stp>[Macro RPRR.xlsx]eco data!R34C6</stp>
        <tr r="F34" s="8"/>
      </tp>
      <tp>
        <v>-0.12856999999999999</v>
        <stp/>
        <stp>##V3_BDPV12</stp>
        <stp>eu0003m index</stp>
        <stp>CHG neT 1yr</stp>
        <stp>[Macro RPRR.xlsx]eco data!R24C7</stp>
        <tr r="G24" s="8"/>
        <tr r="G24" s="8"/>
      </tp>
      <tp t="s">
        <v>#N/A N/A</v>
        <stp/>
        <stp>##V3_BDPV12</stp>
        <stp>ehcajp index</stp>
        <stp>CHG neT 5d</stp>
        <stp>[Macro RPRR.xlsx]eco data!R34C5</stp>
        <tr r="E34" s="8"/>
      </tp>
      <tp>
        <v>3.4659249999999999</v>
        <stp/>
        <stp>##V3_BDPV12</stp>
        <stp>sgx index</stp>
        <stp>chg PCt 1yr</stp>
        <stp>[Macro RPRR.xlsx]monitor!R77C6</stp>
        <tr r="F77" s="10"/>
      </tp>
      <tp>
        <v>117.5943</v>
        <stp/>
        <stp>##V3_BDPV12</stp>
        <stp>sgx index</stp>
        <stp>chg PCt 5yr</stp>
        <stp>[Macro RPRR.xlsx]monitor!R77C7</stp>
        <tr r="G77" s="10"/>
      </tp>
      <tp>
        <v>-1.5656000000000001</v>
        <stp/>
        <stp>##V3_BDPV12</stp>
        <stp>FTSEMIB INDEX</stp>
        <stp>CHG PCT 5d</stp>
        <stp>[Macro RPRR.xlsx]eco data!R41C14</stp>
        <tr r="N41" s="8"/>
      </tp>
      <tp>
        <v>0.48799999999999999</v>
        <stp/>
        <stp>##V3_BDPV12</stp>
        <stp>gspg10 index</stp>
        <stp>chg net 1m</stp>
        <stp>[Macro RPRR.xlsx]monitor!R9C4</stp>
        <tr r="D9" s="10"/>
      </tp>
      <tp>
        <v>1.38</v>
        <stp/>
        <stp>##V3_BDPV12</stp>
        <stp>gspg10 index</stp>
        <stp>chg net 6m</stp>
        <stp>[Macro RPRR.xlsx]monitor!R9C5</stp>
        <tr r="E9" s="10"/>
      </tp>
      <tp>
        <v>2759.8040000000001</v>
        <stp/>
        <stp>##V3_BDPV12</stp>
        <stp>wgdpuk index</stp>
        <stp>px last</stp>
        <stp>[Macro RPRR.xlsx]EU countries!R19C10</stp>
        <tr r="J19" s="11"/>
      </tp>
      <tp>
        <v>20953.03</v>
        <stp/>
        <stp>##V3_BDPV12</stp>
        <stp>wgdpus index</stp>
        <stp>px last</stp>
        <stp>[Macro RPRR.xlsx]EU countries!R20C10</stp>
        <tr r="J20" s="11"/>
      </tp>
      <tp>
        <v>1.5</v>
        <stp/>
        <stp>##V3_BDPV12</stp>
        <stp>cncpiyoy INDEX</stp>
        <stp>PX LAST</stp>
        <stp>[Macro RPRR.xlsx]EU countries!R22C15</stp>
        <tr r="O22" s="11"/>
      </tp>
      <tp>
        <v>75.599999999999994</v>
        <stp/>
        <stp>##V3_BDPV12</stp>
        <stp>gddbuk index</stp>
        <stp>px last</stp>
        <stp>[Macro RPRR.xlsx]EU countries!R19C17</stp>
        <tr r="Q19" s="11"/>
      </tp>
      <tp>
        <v>127.4</v>
        <stp/>
        <stp>##V3_BDPV12</stp>
        <stp>EUdb60pt index</stp>
        <stp>px last</stp>
        <stp>[Macro RPRR.xlsx]eco data!R10C30</stp>
        <tr r="AD10" s="8"/>
      </tp>
      <tp>
        <v>56</v>
        <stp/>
        <stp>##V3_BDPV12</stp>
        <stp>EUdb60ie index</stp>
        <stp>px last</stp>
        <stp>[Macro RPRR.xlsx]eco data!R11C30</stp>
        <tr r="AD11" s="8"/>
      </tp>
      <tp>
        <v>1.1599999999999999</v>
        <stp/>
        <stp>##V3_BDPV12</stp>
        <stp>ehcaFR index</stp>
        <stp>CHG neT 1yr</stp>
        <stp>[Macro RPRR.xlsx]eco data!R47C16</stp>
        <tr r="P47" s="8"/>
        <tr r="P47" s="8"/>
      </tp>
      <tp>
        <v>0.12</v>
        <stp/>
        <stp>##V3_BDPV12</stp>
        <stp>ehcaes index</stp>
        <stp>CHG neT 1yr</stp>
        <stp>[Macro RPRR.xlsx]eco data!R21C16</stp>
        <tr r="P21" s="8"/>
        <tr r="P21" s="8"/>
      </tp>
      <tp>
        <v>-1.3</v>
        <stp/>
        <stp>##V3_BDPV12</stp>
        <stp>ehcait index</stp>
        <stp>CHG neT 1yr</stp>
        <stp>[Macro RPRR.xlsx]eco data!R34C16</stp>
        <tr r="P34" s="8"/>
        <tr r="P34" s="8"/>
      </tp>
      <tp>
        <v>4.22</v>
        <stp/>
        <stp>##V3_BDPV12</stp>
        <stp>ehcaru index</stp>
        <stp>CHG neT 1yr</stp>
        <stp>[Macro RPRR.xlsx]eco data!R34C25</stp>
        <tr r="Y34" s="8"/>
        <tr r="Y34" s="8"/>
      </tp>
      <tp>
        <v>0.15</v>
        <stp/>
        <stp>##V3_BDPV12</stp>
        <stp>ehcacn index</stp>
        <stp>CHG neT 1yr</stp>
        <stp>[Macro RPRR.xlsx]eco data!R21C25</stp>
        <tr r="Y21" s="8"/>
        <tr r="Y21" s="8"/>
      </tp>
      <tp t="s">
        <v>Food Service</v>
        <stp/>
        <stp>##V3_BDPV12</stp>
        <stp>CPG LN Equity</stp>
        <stp>industry group</stp>
        <stp>[Macro RPRR.xlsx]monitor!R72C34</stp>
        <tr r="AH72" s="10"/>
      </tp>
      <tp>
        <v>-27.787019999999998</v>
        <stp/>
        <stp>##V3_BDPV12</stp>
        <stp>KGF LN Equity</stp>
        <stp>chg PCt 1yr</stp>
        <stp>[Macro RPRR.xlsx]monitor!R9C32</stp>
        <tr r="AF9" s="10"/>
      </tp>
      <tp t="s">
        <v>Advertising</v>
        <stp/>
        <stp>##V3_BDPV12</stp>
        <stp>WPP LN Equity</stp>
        <stp>industry group</stp>
        <stp>[Macro RPRR.xlsx]monitor!R16C34</stp>
        <tr r="AH16" s="10"/>
      </tp>
      <tp t="s">
        <v>Machinery-Diversified</v>
        <stp/>
        <stp>##V3_BDPV12</stp>
        <stp>SPX LN Equity</stp>
        <stp>industry group</stp>
        <stp>[Macro RPRR.xlsx]monitor!R47C34</stp>
        <tr r="AH47" s="10"/>
      </tp>
      <tp t="s">
        <v>#N/A N/A</v>
        <stp/>
        <stp>##V3_BDPV12</stp>
        <stp>ehupjp index</stp>
        <stp>CHG neT 1m</stp>
        <stp>[Macro RPRR.xlsx]eco data!R35C6</stp>
        <tr r="F35" s="8"/>
      </tp>
      <tp>
        <v>3846.4140000000002</v>
        <stp/>
        <stp>##V3_BDPV12</stp>
        <stp>wgdpgerm index</stp>
        <stp>px last</stp>
        <stp>[Macro RPRR.xlsx]EU countries!R7C10</stp>
        <tr r="J7" s="11"/>
      </tp>
      <tp t="s">
        <v>#N/A N/A</v>
        <stp/>
        <stp>##V3_BDPV12</stp>
        <stp>ehupjp index</stp>
        <stp>CHG neT 5d</stp>
        <stp>[Macro RPRR.xlsx]eco data!R35C5</stp>
        <tr r="E35" s="8"/>
      </tp>
      <tp t="s">
        <v>Oil&amp;Gas</v>
        <stp/>
        <stp>##V3_BDPV12</stp>
        <stp>BP/ LN Equity</stp>
        <stp>industry group</stp>
        <stp>[Macro RPRR.xlsx]monitor!R63C34</stp>
        <tr r="AH63" s="10"/>
      </tp>
      <tp t="s">
        <v>#N/A N/A</v>
        <stp/>
        <stp>##V3_BDPV12</stp>
        <stp>ehupgb index</stp>
        <stp>CHG neT 1m</stp>
        <stp>[Macro RPRR.xlsx]eco data!R48C6</stp>
        <tr r="F48" s="8"/>
      </tp>
      <tp t="s">
        <v>#N/A N/A</v>
        <stp/>
        <stp>##V3_BDPV12</stp>
        <stp>ehupgb index</stp>
        <stp>CHG neT 5d</stp>
        <stp>[Macro RPRR.xlsx]eco data!R48C5</stp>
        <tr r="E48" s="8"/>
      </tp>
      <tp>
        <v>11.3</v>
        <stp/>
        <stp>##V3_BDPV12</stp>
        <stp>BZPIIPCY INDEX</stp>
        <stp>px last</stp>
        <stp>[Macro RPRR.xlsx]EU countries!R24C15</stp>
        <tr r="O24" s="11"/>
      </tp>
      <tp t="s">
        <v>Entertainment</v>
        <stp/>
        <stp>##V3_BDPV12</stp>
        <stp>ENT LN Equity</stp>
        <stp>industry group</stp>
        <stp>[Macro RPRR.xlsx]monitor!R2C34</stp>
        <tr r="AH2" s="10"/>
      </tp>
      <tp>
        <v>-2.5</v>
        <stp/>
        <stp>##V3_BDPV12</stp>
        <stp>EUbdneth index</stp>
        <stp>px last</stp>
        <stp>[Macro RPRR.xlsx]EU countries!R11C18</stp>
        <tr r="R11" s="11"/>
      </tp>
      <tp t="s">
        <v>#N/A N/A</v>
        <stp/>
        <stp>##V3_BDPV12</stp>
        <stp>ehbbjpy index</stp>
        <stp>CHG neT 5d</stp>
        <stp>[Macro RPRR.xlsx]eco data!R33C5</stp>
        <tr r="E33" s="8"/>
      </tp>
      <tp>
        <v>1.0209999999999999</v>
        <stp/>
        <stp>##V3_BDPV12</stp>
        <stp>GJGB30 index</stp>
        <stp>LAST TRADE</stp>
        <stp>[Macro RPRR.xlsx]carry+rd!R10C11</stp>
        <tr r="K10" s="1"/>
      </tp>
      <tp t="s">
        <v>#N/A N/A</v>
        <stp/>
        <stp>##V3_BDPV12</stp>
        <stp>ehbbjpy index</stp>
        <stp>CHG neT 1m</stp>
        <stp>[Macro RPRR.xlsx]eco data!R33C6</stp>
        <tr r="F33" s="8"/>
      </tp>
      <tp t="s">
        <v>Insurance</v>
        <stp/>
        <stp>##V3_BDPV12</stp>
        <stp>RSA LN Equity</stp>
        <stp>industry group</stp>
        <stp>[Macro RPRR.xlsx]monitor!R25C34</stp>
        <tr r="AH25" s="10"/>
      </tp>
      <tp t="s">
        <v>Electric</v>
        <stp/>
        <stp>##V3_BDPV12</stp>
        <stp>SSE LN Equity</stp>
        <stp>industry group</stp>
        <stp>[Macro RPRR.xlsx]monitor!R82C34</stp>
        <tr r="AH82" s="10"/>
      </tp>
      <tp t="s">
        <v>Closed-end Funds</v>
        <stp/>
        <stp>##V3_BDPV12</stp>
        <stp>PSH LN Equity</stp>
        <stp>industry group</stp>
        <stp>[Macro RPRR.xlsx]monitor!R30C34</stp>
        <tr r="AH30" s="10"/>
      </tp>
      <tp t="s">
        <v>Home Builders</v>
        <stp/>
        <stp>##V3_BDPV12</stp>
        <stp>PSN LN Equity</stp>
        <stp>industry group</stp>
        <stp>[Macro RPRR.xlsx]monitor!R27C34</stp>
        <tr r="AH27" s="10"/>
      </tp>
      <tp t="s">
        <v>Electronics</v>
        <stp/>
        <stp>##V3_BDPV12</stp>
        <stp>RSW LN Equity</stp>
        <stp>industry group</stp>
        <stp>[Macro RPRR.xlsx]monitor!R12C34</stp>
        <tr r="AH12" s="10"/>
      </tp>
      <tp>
        <v>2.9336000000000002</v>
        <stp/>
        <stp>##V3_BDPV12</stp>
        <stp>usgg10yr index</stp>
        <stp>px last</stp>
        <stp>[Macro RPRR.xlsx]monitor!R4C3</stp>
        <tr r="C4" s="10"/>
      </tp>
      <tp>
        <v>19.315060027908245</v>
        <stp/>
        <stp>##V3_BDPV12</stp>
        <stp>SPX index</stp>
        <stp>best pe ratio</stp>
        <stp>[Macro RPRR.xlsx]monitor!R4C13</stp>
        <tr r="M4" s="10"/>
      </tp>
      <tp>
        <v>-3.42</v>
        <stp/>
        <stp>##V3_BDPV12</stp>
        <stp>ehcaus INDEX</stp>
        <stp>PX LAST</stp>
        <stp>[Macro RPRR.xlsx]eco data!R7C4</stp>
        <tr r="D7" s="8"/>
      </tp>
      <tp t="s">
        <v>ISHARES CORE EURO CORP BOND</v>
        <stp/>
        <stp>##V3_BDPV12</stp>
        <stp>IEAC LN EQUITY</stp>
        <stp>Name</stp>
        <stp>[Macro RPRR.xlsx]flows!R27C3</stp>
        <tr r="C27" s="12"/>
      </tp>
      <tp t="s">
        <v>#N/A N/A</v>
        <stp/>
        <stp>##V3_BDPV12</stp>
        <stp>CNBI3MO index</stp>
        <stp>CHG neT 5d</stp>
        <stp>[Macro RPRR.xlsx]eco data!R23C23</stp>
        <tr r="W23" s="8"/>
      </tp>
      <tp>
        <v>12.3937123808332</v>
        <stp/>
        <stp>##V3_BDPV12</stp>
        <stp>CAC index</stp>
        <stp>best pe ratio</stp>
        <stp>[Macro RPRR.xlsx]monitor!R7C13</stp>
        <tr r="M7" s="10"/>
      </tp>
      <tp>
        <v>12.420218998967602</v>
        <stp/>
        <stp>##V3_BDPV12</stp>
        <stp>DAX index</stp>
        <stp>best pe ratio</stp>
        <stp>[Macro RPRR.xlsx]monitor!R6C13</stp>
        <tr r="M6" s="10"/>
      </tp>
      <tp>
        <v>23.718054400403805</v>
        <stp/>
        <stp>##V3_BDPV12</stp>
        <stp>S5INft INDEX</stp>
        <stp>best pe ratio</stp>
        <stp>[Macro RPRR.xlsx]monitor!R43C3</stp>
        <tr r="C43" s="10"/>
      </tp>
      <tp>
        <v>5932.6080000000002</v>
        <stp/>
        <stp>##V3_BDPV12</stp>
        <stp>MCHI EQUITY</stp>
        <stp>Fund Total Assets</stp>
        <stp>[Macro RPRR.xlsx]flows!R35C8</stp>
        <tr r="H35" s="12"/>
      </tp>
      <tp>
        <v>3.4</v>
        <stp/>
        <stp>##V3_BDPV12</stp>
        <stp>FRcpiyoy index</stp>
        <stp>CHG neT 1yr</stp>
        <stp>[Macro RPRR.xlsx]eco data!R44C16</stp>
        <tr r="P44" s="8"/>
        <tr r="P44" s="8"/>
      </tp>
      <tp>
        <v>5.5E-2</v>
        <stp/>
        <stp>##V3_BDPV12</stp>
        <stp>BBSW1m index</stp>
        <stp>PX LAST</stp>
        <stp>[Macro RPRR.xlsx]carry+rd!R2C14</stp>
        <tr r="N2" s="1"/>
      </tp>
      <tp t="s">
        <v>Building Materials</v>
        <stp/>
        <stp>##V3_BDPV12</stp>
        <stp>CRH LN Equity</stp>
        <stp>industry group</stp>
        <stp>[Macro RPRR.xlsx]monitor!R33C34</stp>
        <tr r="AH33" s="10"/>
      </tp>
      <tp t="s">
        <v>Investment Companies</v>
        <stp/>
        <stp>##V3_BDPV12</stp>
        <stp>MRO LN Equity</stp>
        <stp>industry group</stp>
        <stp>[Macro RPRR.xlsx]monitor!R15C34</stp>
        <tr r="AH15" s="10"/>
      </tp>
      <tp t="s">
        <v>Insurance</v>
        <stp/>
        <stp>##V3_BDPV12</stp>
        <stp>PRU LN Equity</stp>
        <stp>industry group</stp>
        <stp>[Macro RPRR.xlsx]monitor!R34C34</stp>
        <tr r="AH34" s="10"/>
      </tp>
      <tp>
        <v>5.4129999999999998E-2</v>
        <stp/>
        <stp>##V3_BDPV12</stp>
        <stp>jy0003m index</stp>
        <stp>CHG neT 1yr</stp>
        <stp>[Macro RPRR.xlsx]eco data!R37C7</stp>
        <tr r="G37" s="8"/>
        <tr r="G37" s="8"/>
      </tp>
      <tp>
        <v>-7.24</v>
        <stp/>
        <stp>##V3_BDPV12</stp>
        <stp>ehbbus INDEX</stp>
        <stp>PX LAST</stp>
        <stp>[Macro RPRR.xlsx]eco data!R6C4</stp>
        <tr r="D6" s="8"/>
      </tp>
      <tp t="s">
        <v>Aerospace/Defense</v>
        <stp/>
        <stp>##V3_BDPV12</stp>
        <stp>RR/ LN Equity</stp>
        <stp>industry group</stp>
        <stp>[Macro RPRR.xlsx]monitor!R97C34</stp>
        <tr r="AH97" s="10"/>
      </tp>
      <tp>
        <v>26.4</v>
        <stp/>
        <stp>##V3_BDPV12</stp>
        <stp>gddbNWZD index</stp>
        <stp>px last</stp>
        <stp>[Macro RPRR.xlsx]EU countries!R30C17</stp>
        <tr r="Q30" s="11"/>
      </tp>
      <tp>
        <v>0.441</v>
        <stp/>
        <stp>##V3_BDPV12</stp>
        <stp>gdbr10 index</stp>
        <stp>CHG neT 1m</stp>
        <stp>[Macro RPRR.xlsx]eco data!R13C24</stp>
        <tr r="X13" s="8"/>
      </tp>
      <tp>
        <v>12.535115359358342</v>
        <stp/>
        <stp>##V3_BDPV12</stp>
        <stp>S5FINL INDEX</stp>
        <stp>best pe ratio</stp>
        <stp>[Macro RPRR.xlsx]monitor!R37C4</stp>
        <stp>Best_Fperiod_override=2gy</stp>
        <tr r="D37" s="10"/>
      </tp>
      <tp>
        <v>11.388679634071931</v>
        <stp/>
        <stp>##V3_BDPV12</stp>
        <stp>S5FINL INDEX</stp>
        <stp>best pe ratio</stp>
        <stp>[Macro RPRR.xlsx]monitor!R37C5</stp>
        <stp>Best_Fperiod_override=3gy</stp>
        <tr r="E37" s="10"/>
      </tp>
      <tp>
        <v>-0.25944630000000002</v>
        <stp/>
        <stp>##V3_BDPV12</stp>
        <stp>FTSEMIB INDEX</stp>
        <stp>CHG PCT 1YR</stp>
        <stp>[Macro RPRR.xlsx]eco data!R41C16</stp>
        <tr r="P41" s="8"/>
      </tp>
      <tp>
        <v>2997.0569999999998</v>
        <stp/>
        <stp>##V3_BDPV12</stp>
        <stp>USO EQUITY</stp>
        <stp>Fund Total Assets</stp>
        <stp>[Macro RPRR.xlsx]flows!R17C8</stp>
        <tr r="H17" s="12"/>
      </tp>
      <tp>
        <v>2248.6590000000001</v>
        <stp/>
        <stp>##V3_BDPV12</stp>
        <stp>DBA EQUITY</stp>
        <stp>Fund Total Assets</stp>
        <stp>[Macro RPRR.xlsx]flows!R19C8</stp>
        <tr r="H19" s="12"/>
      </tp>
      <tp t="s">
        <v>Agriculture</v>
        <stp/>
        <stp>##V3_BDPV12</stp>
        <stp>IMB LN Equity</stp>
        <stp>industry group</stp>
        <stp>[Macro RPRR.xlsx]monitor!R84C34</stp>
        <tr r="AH84" s="10"/>
      </tp>
      <tp t="s">
        <v>Retail</v>
        <stp/>
        <stp>##V3_BDPV12</stp>
        <stp>BME LN Equity</stp>
        <stp>industry group</stp>
        <stp>[Macro RPRR.xlsx]monitor!R11C34</stp>
        <tr r="AH11" s="10"/>
      </tp>
      <tp t="s">
        <v>Internet</v>
        <stp/>
        <stp>##V3_BDPV12</stp>
        <stp>RMV LN Equity</stp>
        <stp>industry group</stp>
        <stp>[Macro RPRR.xlsx]monitor!R76C34</stp>
        <tr r="AH76" s="10"/>
      </tp>
      <tp t="s">
        <v>Closed-end Funds</v>
        <stp/>
        <stp>##V3_BDPV12</stp>
        <stp>SMT LN Equity</stp>
        <stp>industry group</stp>
        <stp>[Macro RPRR.xlsx]monitor!R14C34</stp>
        <tr r="AH14" s="10"/>
      </tp>
      <tp>
        <v>0.6</v>
        <stp/>
        <stp>##V3_BDPV12</stp>
        <stp>cncpiyoy index</stp>
        <stp>CHG neT 1m</stp>
        <stp>[Macro RPRR.xlsx]eco data!R18C24</stp>
        <tr r="X18" s="8"/>
        <tr r="X18" s="8"/>
      </tp>
      <tp>
        <v>2.2000000000000002</v>
        <stp/>
        <stp>##V3_BDPV12</stp>
        <stp>szueuea index</stp>
        <stp>px last</stp>
        <stp>[Macro RPRR.xlsx]EU countries!R18C16</stp>
        <tr r="P18" s="11"/>
      </tp>
      <tp>
        <v>12.769293964858685</v>
        <stp/>
        <stp>##V3_BDPV12</stp>
        <stp>IBEX index</stp>
        <stp>best pe ratio</stp>
        <stp>[Macro RPRR.xlsx]monitor!R9C13</stp>
        <tr r="M9" s="10"/>
      </tp>
      <tp>
        <v>0.8</v>
        <stp/>
        <stp>##V3_BDPV12</stp>
        <stp>itcpiyoy index</stp>
        <stp>CHG neT 1m</stp>
        <stp>[Macro RPRR.xlsx]eco data!R31C15</stp>
        <tr r="O31" s="8"/>
        <tr r="O31" s="8"/>
      </tp>
      <tp>
        <v>7.51</v>
        <stp/>
        <stp>##V3_BDPV12</stp>
        <stp>rucpiyoy index</stp>
        <stp>CHG neT 1m</stp>
        <stp>[Macro RPRR.xlsx]eco data!R31C24</stp>
        <tr r="X31" s="8"/>
        <tr r="X31" s="8"/>
      </tp>
      <tp>
        <v>2.2000000000000002</v>
        <stp/>
        <stp>##V3_BDPV12</stp>
        <stp>spcpeuyy index</stp>
        <stp>CHG neT 1m</stp>
        <stp>[Macro RPRR.xlsx]eco data!R18C15</stp>
        <tr r="O18" s="8"/>
        <tr r="O18" s="8"/>
      </tp>
      <tp>
        <v>0.9</v>
        <stp/>
        <stp>##V3_BDPV12</stp>
        <stp>FRcpiyoy index</stp>
        <stp>CHG neT 1m</stp>
        <stp>[Macro RPRR.xlsx]eco data!R44C15</stp>
        <tr r="O44" s="8"/>
        <tr r="O44" s="8"/>
      </tp>
      <tp>
        <v>-6.9</v>
        <stp/>
        <stp>##V3_BDPV12</stp>
        <stp>EUbdspai index</stp>
        <stp>px last</stp>
        <stp>[Macro RPRR.xlsx]EU countries!R10C18</stp>
        <tr r="R10" s="11"/>
      </tp>
    </main>
    <main first="bofaddin.rtdserver">
      <tp t="s">
        <v>#N/A N/A</v>
        <stp/>
        <stp>BDH|13691086855995395964</stp>
        <tr r="E7" s="13"/>
      </tp>
    </main>
    <main first="bloomberg.rtd">
      <tp t="s">
        <v>ISHARES MSCI CHINA ETF</v>
        <stp/>
        <stp>##V3_BDPV12</stp>
        <stp>MCHI EQUITY</stp>
        <stp>Name</stp>
        <stp>[Macro RPRR.xlsx]flows!R35C3</stp>
        <tr r="C35" s="12"/>
      </tp>
      <tp>
        <v>0.39410099999999998</v>
        <stp/>
        <stp>##V3_BDPV12</stp>
        <stp>gtpte2y govt</stp>
        <stp>bid yield</stp>
        <stp>[Macro RPRR.xlsx]eco data!R12C13</stp>
        <tr r="M12" s="8"/>
      </tp>
      <tp>
        <v>1.0807</v>
        <stp/>
        <stp>##V3_BDPV12</stp>
        <stp>eurusd curncy</stp>
        <stp>px last</stp>
        <stp>[Macro RPRR.xlsx]CBs!R3C3</stp>
        <tr r="C3" s="13"/>
      </tp>
      <tp t="s">
        <v>Diversified Finan Serv</v>
        <stp/>
        <stp>##V3_BDPV12</stp>
        <stp>SLA LN Equity</stp>
        <stp>industry group</stp>
        <stp>[Macro RPRR.xlsx]monitor!R55C34</stp>
        <tr r="AH55" s="10"/>
      </tp>
      <tp>
        <v>1.6379999999999999</v>
        <stp/>
        <stp>##V3_BDPV12</stp>
        <stp>GUKG1 index</stp>
        <stp>LAST TRADE</stp>
        <stp>[Macro RPRR.xlsx]carry+rd!R3C8</stp>
        <tr r="H3" s="1"/>
      </tp>
      <tp>
        <v>2.36</v>
        <stp/>
        <stp>##V3_BDPV12</stp>
        <stp>ehbbcny index</stp>
        <stp>CHG neT 1yr</stp>
        <stp>[Macro RPRR.xlsx]eco data!R20C25</stp>
        <tr r="Y20" s="8"/>
        <tr r="Y20" s="8"/>
      </tp>
      <tp>
        <v>0.441</v>
        <stp/>
        <stp>##V3_BDPV12</stp>
        <stp>gdbr10 index</stp>
        <stp>chg net 1m</stp>
        <stp>[Macro RPRR.xlsx]monitor!R6C4</stp>
        <tr r="D6" s="10"/>
      </tp>
      <tp>
        <v>1.0509999999999999</v>
        <stp/>
        <stp>##V3_BDPV12</stp>
        <stp>gdbr10 index</stp>
        <stp>chg net 6m</stp>
        <stp>[Macro RPRR.xlsx]monitor!R6C5</stp>
        <tr r="E6" s="10"/>
      </tp>
      <tp t="s">
        <v>Diversified Finan Serv</v>
        <stp/>
        <stp>##V3_BDPV12</stp>
        <stp>HL/ LN Equity</stp>
        <stp>industry group</stp>
        <stp>[Macro RPRR.xlsx]monitor!R81C34</stp>
        <tr r="AH81" s="10"/>
      </tp>
      <tp>
        <v>-11.7</v>
        <stp/>
        <stp>##V3_BDPV12</stp>
        <stp>TWI JPSP curncy</stp>
        <stp>CHG PCT 1yr</stp>
        <stp>[Macro RPRR.xlsx]eco data!R40C7</stp>
        <tr r="G40" s="8"/>
      </tp>
    </main>
    <main first="bofaddin.rtdserver">
      <tp t="s">
        <v>#N/A N/A</v>
        <stp/>
        <stp>BDH|11983017348329468763</stp>
        <tr r="AH27" s="8"/>
      </tp>
      <tp t="e">
        <v>#N/A</v>
        <stp/>
        <stp>BDH|13608922038662745036</stp>
        <tr r="AZ9" s="5"/>
      </tp>
      <tp t="e">
        <v>#N/A</v>
        <stp/>
        <stp>BDH|11912952754131150720</stp>
        <tr r="AH9" s="5"/>
      </tp>
    </main>
    <main first="bloomberg.rtd">
      <tp>
        <v>207.94</v>
        <stp/>
        <stp>##V3_BDPV12</stp>
        <stp>VEA EQUITY</stp>
        <stp>MF_tot_1M</stp>
        <stp>[Macro RPRR.xlsx]flows!R6C11</stp>
        <tr r="K6" s="12"/>
      </tp>
      <tp>
        <v>0.26305000000000001</v>
        <stp/>
        <stp>##V3_BDPV12</stp>
        <stp>gtfrf2y govt</stp>
        <stp>bid yield</stp>
        <stp>[Macro RPRR.xlsx]eco data!R51C13</stp>
        <tr r="M51" s="8"/>
      </tp>
      <tp>
        <v>-48.24</v>
        <stp/>
        <stp>##V3_BDPV12</stp>
        <stp>VEA EQUITY</stp>
        <stp>MF_tot_1W</stp>
        <stp>[Macro RPRR.xlsx]flows!R6C10</stp>
        <tr r="J6" s="12"/>
      </tp>
      <tp t="s">
        <v>Telecommunications</v>
        <stp/>
        <stp>##V3_BDPV12</stp>
        <stp>VOD LN Equity</stp>
        <stp>industry group</stp>
        <stp>[Macro RPRR.xlsx]monitor!R80C34</stp>
        <tr r="AH80" s="10"/>
      </tp>
      <tp>
        <v>30.876037967509145</v>
        <stp/>
        <stp>##V3_BDPV12</stp>
        <stp>NZSE50FG index</stp>
        <stp>best pe ratio</stp>
        <stp>[Macro RPRR.xlsx]monitor!R16C13</stp>
        <tr r="M16" s="10"/>
      </tp>
      <tp>
        <v>2.0632000000000001</v>
        <stp/>
        <stp>##V3_BDPV12</stp>
        <stp>micxru10 index</stp>
        <stp>chg net 6m</stp>
        <stp>[Macro RPRR.xlsx]monitor!R25C5</stp>
        <tr r="E25" s="10"/>
      </tp>
      <tp>
        <v>-2.5897999999999999</v>
        <stp/>
        <stp>##V3_BDPV12</stp>
        <stp>micxru10 index</stp>
        <stp>chg net 1m</stp>
        <stp>[Macro RPRR.xlsx]monitor!R25C4</stp>
        <tr r="D25" s="10"/>
      </tp>
      <tp>
        <v>-0.85</v>
        <stp/>
        <stp>##V3_BDPV12</stp>
        <stp>GDPGAko INDEX</stp>
        <stp>PX LAST</stp>
        <stp>[Macro RPRR.xlsx]EU countries!R31C14</stp>
        <tr r="N31" s="11"/>
      </tp>
      <tp>
        <v>1.8599999999999999</v>
        <stp/>
        <stp>##V3_BDPV12</stp>
        <stp>GDPGAnz INDEX</stp>
        <stp>PX LAST</stp>
        <stp>[Macro RPRR.xlsx]EU countries!R30C14</stp>
        <tr r="N30" s="11"/>
      </tp>
      <tp>
        <v>3.7</v>
        <stp/>
        <stp>##V3_BDPV12</stp>
        <stp>szgrgdpy INDEX</stp>
        <stp>PX LAST</stp>
        <stp>[Macro RPRR.xlsx]EU countries!R18C14</stp>
        <tr r="N18" s="11"/>
      </tp>
      <tp>
        <v>1.9775</v>
        <stp/>
        <stp>##V3_BDPV12</stp>
        <stp>CB12 govt</stp>
        <stp>last trade</stp>
        <stp>[Macro RPRR.xlsx]carry+rd!R3C5</stp>
        <tr r="E3" s="1"/>
      </tp>
      <tp>
        <v>39.799999999999997</v>
        <stp/>
        <stp>##V3_BDPV12</stp>
        <stp>gddbSOKO index</stp>
        <stp>px last</stp>
        <stp>[Macro RPRR.xlsx]EU countries!R31C17</stp>
        <tr r="Q31" s="11"/>
      </tp>
      <tp>
        <v>6.6</v>
        <stp/>
        <stp>##V3_BDPV12</stp>
        <stp>UKGRABIy INDEX</stp>
        <stp>PX LAST</stp>
        <stp>[Macro RPRR.xlsx]EU countries!R19C14</stp>
        <tr r="N19" s="11"/>
      </tp>
      <tp>
        <v>1.2894000000000001</v>
        <stp/>
        <stp>##V3_BDPV12</stp>
        <stp>gbpusd curncy</stp>
        <stp>px last</stp>
        <stp>[Macro RPRR.xlsx]CBs!R3C4</stp>
        <tr r="D3" s="13"/>
      </tp>
      <tp>
        <v>9610.1484375</v>
        <stp/>
        <stp>##V3_BDPV12</stp>
        <stp>IEI EQUITY</stp>
        <stp>Fund Total Assets</stp>
        <stp>[Macro RPRR.xlsx]flows!R12C8</stp>
        <tr r="H12" s="12"/>
      </tp>
      <tp t="s">
        <v>Media</v>
        <stp/>
        <stp>##V3_BDPV12</stp>
        <stp>INF LN Equity</stp>
        <stp>industry group</stp>
        <stp>[Macro RPRR.xlsx]monitor!R54C34</stp>
        <tr r="AH54" s="10"/>
      </tp>
      <tp t="s">
        <v>Insurance</v>
        <stp/>
        <stp>##V3_BDPV12</stp>
        <stp>MNG LN Equity</stp>
        <stp>industry group</stp>
        <stp>[Macro RPRR.xlsx]monitor!R17C34</stp>
        <tr r="AH17" s="10"/>
      </tp>
      <tp>
        <v>0.78900000000000003</v>
        <stp/>
        <stp>##V3_BDPV12</stp>
        <stp>GDBR7 index</stp>
        <stp>LAST TRADE</stp>
        <stp>[Macro RPRR.xlsx]carry+rd!R8C2</stp>
        <tr r="B8" s="1"/>
      </tp>
      <tp t="s">
        <v>ISHARES MSCI INDIA ETF</v>
        <stp/>
        <stp>##V3_BDPV12</stp>
        <stp>INDA US EQUITY</stp>
        <stp>Name</stp>
        <stp>[Macro RPRR.xlsx]flows!R38C3</stp>
        <tr r="C38" s="12"/>
      </tp>
      <tp t="s">
        <v>Healthcare-Products</v>
        <stp/>
        <stp>##V3_BDPV12</stp>
        <stp>SN/ LN Equity</stp>
        <stp>industry group</stp>
        <stp>[Macro RPRR.xlsx]monitor!R99C34</stp>
        <tr r="AH99" s="10"/>
      </tp>
      <tp>
        <v>-7.136145</v>
        <stp/>
        <stp>##V3_BDPV12</stp>
        <stp>NKY INDEX</stp>
        <stp>CHG PCT 1YR</stp>
        <stp>[Macro RPRR.xlsx]eco data!R41C7</stp>
        <tr r="G41" s="8"/>
      </tp>
      <tp>
        <v>97.6</v>
        <stp/>
        <stp>##V3_BDPV12</stp>
        <stp>LCTQitir INDEX</stp>
        <stp>PX LAST</stp>
        <stp>[Macro RPRR.xlsx]EU countries!R9C20</stp>
        <tr r="T9" s="11"/>
      </tp>
      <tp>
        <v>-2.8</v>
        <stp/>
        <stp>##V3_BDPV12</stp>
        <stp>EUbdport index</stp>
        <stp>px last</stp>
        <stp>[Macro RPRR.xlsx]EU countries!R13C18</stp>
        <tr r="R13" s="11"/>
      </tp>
    </main>
    <main first="bofaddin.rtdserver">
      <tp t="e">
        <v>#N/A</v>
        <stp/>
        <stp>BDH|17317358493904606022</stp>
        <tr r="AY9" s="5"/>
      </tp>
    </main>
    <main first="bloomberg.rtd">
      <tp>
        <v>136.4</v>
        <stp/>
        <stp>##V3_BDPV12</stp>
        <stp>LCTQdei INDEX</stp>
        <stp>PX LAST</stp>
        <stp>[Macro RPRR.xlsx]EU countries!R7C20</stp>
        <tr r="T7" s="11"/>
      </tp>
      <tp>
        <v>113.2</v>
        <stp/>
        <stp>##V3_BDPV12</stp>
        <stp>LCTQfri INDEX</stp>
        <stp>PX LAST</stp>
        <stp>[Macro RPRR.xlsx]EU countries!R8C20</stp>
        <tr r="T8" s="11"/>
      </tp>
      <tp>
        <v>118.5</v>
        <stp/>
        <stp>##V3_BDPV12</stp>
        <stp>LCTQEUi INDEX</stp>
        <stp>PX LAST</stp>
        <stp>[Macro RPRR.xlsx]EU countries!R5C20</stp>
        <tr r="T5" s="11"/>
      </tp>
      <tp>
        <v>-45.13</v>
        <stp/>
        <stp>##V3_BDPV12</stp>
        <stp>AGG EQUITY</stp>
        <stp>MF_tot_1M</stp>
        <stp>[Macro RPRR.xlsx]flows!R8C11</stp>
        <tr r="K8" s="12"/>
      </tp>
      <tp>
        <v>1.97</v>
        <stp/>
        <stp>##V3_BDPV12</stp>
        <stp>ehbbeu index</stp>
        <stp>CHG neT 1yr</stp>
        <stp>[Macro RPRR.xlsx]eco data!R20C7</stp>
        <tr r="G20" s="8"/>
        <tr r="G20" s="8"/>
      </tp>
      <tp t="s">
        <v>LYXOR CAC 40</v>
        <stp/>
        <stp>##V3_BDPV12</stp>
        <stp>CAC FP EQUITY</stp>
        <stp>Name</stp>
        <stp>[Macro RPRR.xlsx]flows!R23C3</stp>
        <tr r="C23" s="12"/>
      </tp>
      <tp>
        <v>75361.828125</v>
        <stp/>
        <stp>##V3_BDPV12</stp>
        <stp>VWO EQUITY</stp>
        <stp>Fund Total Assets</stp>
        <stp>[Macro RPRR.xlsx]flows!R33C8</stp>
        <tr r="H33" s="12"/>
      </tp>
      <tp>
        <v>75.2</v>
        <stp/>
        <stp>##V3_BDPV12</stp>
        <stp>AGG EQUITY</stp>
        <stp>MF_tot_1W</stp>
        <stp>[Macro RPRR.xlsx]flows!R8C10</stp>
        <tr r="J8" s="12"/>
      </tp>
      <tp>
        <v>-0.27</v>
        <stp/>
        <stp>##V3_BDPV12</stp>
        <stp>ehupjp index</stp>
        <stp>CHG neT 1yr</stp>
        <stp>[Macro RPRR.xlsx]eco data!R35C7</stp>
        <tr r="G35" s="8"/>
        <tr r="G35" s="8"/>
      </tp>
      <tp>
        <v>1.845</v>
        <stp/>
        <stp>##V3_BDPV12</stp>
        <stp>GUKG4 index</stp>
        <stp>LAST TRADE</stp>
        <stp>[Macro RPRR.xlsx]carry+rd!R6C8</stp>
        <tr r="H6" s="1"/>
      </tp>
      <tp t="s">
        <v>Mining</v>
        <stp/>
        <stp>##V3_BDPV12</stp>
        <stp>ANTO LN Equity</stp>
        <stp>industry group</stp>
        <stp>[Macro RPRR.xlsx]monitor!R8C34</stp>
        <tr r="AH8" s="10"/>
      </tp>
      <tp t="s">
        <v>Pharmaceuticals</v>
        <stp/>
        <stp>##V3_BDPV12</stp>
        <stp>HIK LN Equity</stp>
        <stp>industry group</stp>
        <stp>[Macro RPRR.xlsx]monitor!R85C34</stp>
        <tr r="AH85" s="10"/>
      </tp>
      <tp t="s">
        <v>Private Equity</v>
        <stp/>
        <stp>##V3_BDPV12</stp>
        <stp>III LN Equity</stp>
        <stp>industry group</stp>
        <stp>[Macro RPRR.xlsx]monitor!R39C34</stp>
        <tr r="AH39" s="10"/>
      </tp>
      <tp t="s">
        <v>Mining</v>
        <stp/>
        <stp>##V3_BDPV12</stp>
        <stp>RIO LN Equity</stp>
        <stp>industry group</stp>
        <stp>[Macro RPRR.xlsx]monitor!R38C34</stp>
        <tr r="AH38" s="10"/>
      </tp>
      <tp>
        <v>0.21299999999999999</v>
        <stp/>
        <stp>##V3_BDPV12</stp>
        <stp>GUKG2 index</stp>
        <stp>CHG neT 5d</stp>
        <stp>[Macro RPRR.xlsx]eco data!R51C5</stp>
        <tr r="E51" s="8"/>
      </tp>
      <tp>
        <v>0.35899999999999999</v>
        <stp/>
        <stp>##V3_BDPV12</stp>
        <stp>GUKG2 index</stp>
        <stp>CHG neT 1m</stp>
        <stp>[Macro RPRR.xlsx]eco data!R51C6</stp>
        <tr r="F51" s="8"/>
      </tp>
      <tp t="s">
        <v>#N/A N/A</v>
        <stp/>
        <stp>##V3_BDPV12</stp>
        <stp>itcpiyoy index</stp>
        <stp>CHG neT 5d</stp>
        <stp>[Macro RPRR.xlsx]eco data!R31C14</stp>
        <tr r="N31" s="8"/>
      </tp>
      <tp t="s">
        <v>#N/A N/A</v>
        <stp/>
        <stp>##V3_BDPV12</stp>
        <stp>cncpiyoy index</stp>
        <stp>CHG neT 5d</stp>
        <stp>[Macro RPRR.xlsx]eco data!R18C23</stp>
        <tr r="W18" s="8"/>
      </tp>
      <tp t="s">
        <v>#N/A N/A</v>
        <stp/>
        <stp>##V3_BDPV12</stp>
        <stp>spcpeuyy index</stp>
        <stp>CHG neT 5d</stp>
        <stp>[Macro RPRR.xlsx]eco data!R18C14</stp>
        <tr r="N18" s="8"/>
      </tp>
      <tp t="s">
        <v>#N/A N/A</v>
        <stp/>
        <stp>##V3_BDPV12</stp>
        <stp>rucpiyoy index</stp>
        <stp>CHG neT 5d</stp>
        <stp>[Macro RPRR.xlsx]eco data!R31C23</stp>
        <tr r="W31" s="8"/>
      </tp>
      <tp>
        <v>1.012</v>
        <stp/>
        <stp>##V3_BDPV12</stp>
        <stp>gspg2yr index</stp>
        <stp>CHG neT 1yr</stp>
        <stp>[Macro RPRR.xlsx]eco data!R25C16</stp>
        <tr r="P25" s="8"/>
        <tr r="P25" s="8"/>
      </tp>
      <tp>
        <v>1.012</v>
        <stp/>
        <stp>##V3_BDPV12</stp>
        <stp>gspg2yr index</stp>
        <stp>CHG neT 1yr</stp>
        <stp>[Macro RPRR.xlsx]eco data!R23C16</stp>
        <tr r="P23" s="8"/>
      </tp>
      <tp t="s">
        <v>#N/A N/A</v>
        <stp/>
        <stp>##V3_BDPV12</stp>
        <stp>FRcpiyoy index</stp>
        <stp>CHG neT 5d</stp>
        <stp>[Macro RPRR.xlsx]eco data!R44C14</stp>
        <tr r="N44" s="8"/>
      </tp>
      <tp t="s">
        <v>ISHARES CORE MSCI EMERGING</v>
        <stp/>
        <stp>##V3_BDPV12</stp>
        <stp>IEMG EQUITY</stp>
        <stp>Name</stp>
        <stp>[Macro RPRR.xlsx]flows!R34C3</stp>
        <tr r="C34" s="12"/>
      </tp>
      <tp>
        <v>-0.05</v>
        <stp/>
        <stp>##V3_BDPV12</stp>
        <stp>ehcajp index</stp>
        <stp>CHG neT 1yr</stp>
        <stp>[Macro RPRR.xlsx]eco data!R34C7</stp>
        <tr r="G34" s="8"/>
        <tr r="G34" s="8"/>
      </tp>
      <tp>
        <v>0.67</v>
        <stp/>
        <stp>##V3_BDPV12</stp>
        <stp>ehcaeu index</stp>
        <stp>CHG neT 1yr</stp>
        <stp>[Macro RPRR.xlsx]eco data!R21C7</stp>
        <tr r="G21" s="8"/>
        <tr r="G21" s="8"/>
      </tp>
      <tp t="s">
        <v>ISHARES CORE FTSE 100</v>
        <stp/>
        <stp>##V3_BDPV12</stp>
        <stp>ISF LN EQUITY</stp>
        <stp>Name</stp>
        <stp>[Macro RPRR.xlsx]flows!R22C3</stp>
        <tr r="C22" s="12"/>
      </tp>
      <tp>
        <v>2.9340000000000002</v>
        <stp/>
        <stp>##V3_BDPV12</stp>
        <stp>USGG30YR index</stp>
        <stp>last trade</stp>
        <stp>[Macro RPRR.xlsx]carry+rd!R10C5</stp>
        <tr r="E10" s="1"/>
      </tp>
      <tp>
        <v>1.7789999999999999</v>
        <stp/>
        <stp>##V3_BDPV12</stp>
        <stp>GUKG5 index</stp>
        <stp>LAST TRADE</stp>
        <stp>[Macro RPRR.xlsx]carry+rd!R7C8</stp>
        <tr r="H7" s="1"/>
      </tp>
      <tp t="s">
        <v>#N/A N/A</v>
        <stp/>
        <stp>##V3_BDPV12</stp>
        <stp>gdp dyoy index</stp>
        <stp>CHG neT 5d</stp>
        <stp>[Macro RPRR.xlsx]eco data!R4C5</stp>
        <tr r="E4" s="8"/>
      </tp>
      <tp t="s">
        <v>#N/A N/A</v>
        <stp/>
        <stp>##V3_BDPV12</stp>
        <stp>gdp dyoy index</stp>
        <stp>CHG neT 1m</stp>
        <stp>[Macro RPRR.xlsx]eco data!R4C6</stp>
        <tr r="F4" s="8"/>
      </tp>
      <tp t="s">
        <v>Lodging</v>
        <stp/>
        <stp>##V3_BDPV12</stp>
        <stp>IHG LN Equity</stp>
        <stp>industry group</stp>
        <stp>[Macro RPRR.xlsx]monitor!R29C34</stp>
        <tr r="AH29" s="10"/>
      </tp>
      <tp t="s">
        <v>Mining</v>
        <stp/>
        <stp>##V3_BDPV12</stp>
        <stp>BHP LN Equity</stp>
        <stp>industry group</stp>
        <stp>[Macro RPRR.xlsx]monitor!R20C34</stp>
        <tr r="AH20" s="10"/>
      </tp>
      <tp>
        <v>4.8</v>
        <stp/>
        <stp>##V3_BDPV12</stp>
        <stp>CNGDPYOY INDEX</stp>
        <stp>PX LAST</stp>
        <stp>[Macro RPRR.xlsx]EU countries!R22C14</stp>
        <tr r="N22" s="11"/>
      </tp>
    </main>
    <main first="bofaddin.rtdserver">
      <tp t="e">
        <v>#N/A</v>
        <stp/>
        <stp>BDH|12039047925467490859</stp>
        <tr r="AT9" s="5"/>
      </tp>
    </main>
    <main first="bloomberg.rtd">
      <tp>
        <v>-1.2</v>
        <stp/>
        <stp>##V3_BDPV12</stp>
        <stp>FRgdpyoy index</stp>
        <stp>CHG neT 1yr</stp>
        <stp>[Macro RPRR.xlsx]eco data!R45C16</stp>
        <tr r="P45" s="8"/>
        <tr r="P45" s="8"/>
      </tp>
      <tp>
        <v>95.763000000000005</v>
        <stp/>
        <stp>##V3_BDPV12</stp>
        <stp>EOukU006 INDEX</stp>
        <stp>PX LAST</stp>
        <stp>[Macro RPRR.xlsx]EU countries!R19C21</stp>
        <tr r="U19" s="11"/>
      </tp>
      <tp>
        <v>111.821</v>
        <stp/>
        <stp>##V3_BDPV12</stp>
        <stp>EOusU006 INDEX</stp>
        <stp>PX LAST</stp>
        <stp>[Macro RPRR.xlsx]EU countries!R20C21</stp>
        <tr r="U20" s="11"/>
      </tp>
      <tp>
        <v>106.54900000000001</v>
        <stp/>
        <stp>##V3_BDPV12</stp>
        <stp>EOptU006 INDEX</stp>
        <stp>PX LAST</stp>
        <stp>[Macro RPRR.xlsx]EU countries!R13C21</stp>
        <tr r="U13" s="11"/>
      </tp>
      <tp>
        <v>99.808999999999997</v>
        <stp/>
        <stp>##V3_BDPV12</stp>
        <stp>EOseU006 INDEX</stp>
        <stp>PX LAST</stp>
        <stp>[Macro RPRR.xlsx]EU countries!R28C21</stp>
        <tr r="U28" s="11"/>
      </tp>
      <tp>
        <v>100.521</v>
        <stp/>
        <stp>##V3_BDPV12</stp>
        <stp>EOspU006 INDEX</stp>
        <stp>PX LAST</stp>
        <stp>[Macro RPRR.xlsx]EU countries!R10C21</stp>
        <tr r="U10" s="11"/>
      </tp>
      <tp>
        <v>105.321</v>
        <stp/>
        <stp>##V3_BDPV12</stp>
        <stp>EOnzU006 INDEX</stp>
        <stp>PX LAST</stp>
        <stp>[Macro RPRR.xlsx]EU countries!R30C21</stp>
        <tr r="U30" s="11"/>
      </tp>
      <tp>
        <v>102.712</v>
        <stp/>
        <stp>##V3_BDPV12</stp>
        <stp>EOneU006 INDEX</stp>
        <stp>PX LAST</stp>
        <stp>[Macro RPRR.xlsx]EU countries!R11C21</stp>
        <tr r="U11" s="11"/>
      </tp>
      <tp>
        <v>81.296999999999997</v>
        <stp/>
        <stp>##V3_BDPV12</stp>
        <stp>EOirU006 INDEX</stp>
        <stp>PX LAST</stp>
        <stp>[Macro RPRR.xlsx]EU countries!R14C21</stp>
        <tr r="U14" s="11"/>
      </tp>
      <tp>
        <v>99.477000000000004</v>
        <stp/>
        <stp>##V3_BDPV12</stp>
        <stp>EOjpU006 INDEX</stp>
        <stp>PX LAST</stp>
        <stp>[Macro RPRR.xlsx]EU countries!R21C21</stp>
        <tr r="U21" s="11"/>
      </tp>
      <tp>
        <v>91.561999999999998</v>
        <stp/>
        <stp>##V3_BDPV12</stp>
        <stp>EOkoU006 INDEX</stp>
        <stp>PX LAST</stp>
        <stp>[Macro RPRR.xlsx]EU countries!R31C21</stp>
        <tr r="U31" s="11"/>
      </tp>
      <tp>
        <v>73.241399999999999</v>
        <stp/>
        <stp>##V3_BDPV12</stp>
        <stp>EOinU003 INDEX</stp>
        <stp>PX LAST</stp>
        <stp>[Macro RPRR.xlsx]EU countries!R23C21</stp>
        <tr r="U23" s="11"/>
      </tp>
      <tp>
        <v>97.650999999999996</v>
        <stp/>
        <stp>##V3_BDPV12</stp>
        <stp>EOgrU006 INDEX</stp>
        <stp>PX LAST</stp>
        <stp>[Macro RPRR.xlsx]EU countries!R12C21</stp>
        <tr r="U12" s="11"/>
      </tp>
      <tp>
        <v>73.731999999999999</v>
        <stp/>
        <stp>##V3_BDPV12</stp>
        <stp>EObrU003 INDEX</stp>
        <stp>PX LAST</stp>
        <stp>[Macro RPRR.xlsx]EU countries!R24C21</stp>
        <tr r="U24" s="11"/>
      </tp>
      <tp>
        <v>100.473</v>
        <stp/>
        <stp>##V3_BDPV12</stp>
        <stp>EOcaU006 INDEX</stp>
        <stp>PX LAST</stp>
        <stp>[Macro RPRR.xlsx]EU countries!R27C21</stp>
        <tr r="U27" s="11"/>
      </tp>
      <tp>
        <v>102.48399999999999</v>
        <stp/>
        <stp>##V3_BDPV12</stp>
        <stp>EOcnU003 INDEX</stp>
        <stp>PX LAST</stp>
        <stp>[Macro RPRR.xlsx]EU countries!R22C21</stp>
        <tr r="U22" s="11"/>
      </tp>
      <tp>
        <v>91.073999999999998</v>
        <stp/>
        <stp>##V3_BDPV12</stp>
        <stp>EOchU006 INDEX</stp>
        <stp>PX LAST</stp>
        <stp>[Macro RPRR.xlsx]EU countries!R18C21</stp>
        <tr r="U18" s="11"/>
      </tp>
      <tp>
        <v>99.257999999999996</v>
        <stp/>
        <stp>##V3_BDPV12</stp>
        <stp>EOauU006 INDEX</stp>
        <stp>PX LAST</stp>
        <stp>[Macro RPRR.xlsx]EU countries!R29C21</stp>
        <tr r="U29" s="11"/>
      </tp>
      <tp>
        <v>-1.17</v>
        <stp/>
        <stp>##V3_BDPV12</stp>
        <stp>ehupeu index</stp>
        <stp>CHG neT 1yr</stp>
        <stp>[Macro RPRR.xlsx]eco data!R22C7</stp>
        <tr r="G22" s="8"/>
        <tr r="G22" s="8"/>
      </tp>
      <tp>
        <v>1.7609999999999999</v>
        <stp/>
        <stp>##V3_BDPV12</stp>
        <stp>GUKG2 index</stp>
        <stp>LAST TRADE</stp>
        <stp>[Macro RPRR.xlsx]carry+rd!R4C8</stp>
        <tr r="H4" s="1"/>
      </tp>
      <tp t="s">
        <v>Entertainment</v>
        <stp/>
        <stp>##V3_BDPV12</stp>
        <stp>FLTR LN Equity</stp>
        <stp>industry group</stp>
        <stp>[Macro RPRR.xlsx]monitor!R6C34</stp>
        <tr r="AH6" s="10"/>
      </tp>
      <tp t="s">
        <v>Home Builders</v>
        <stp/>
        <stp>##V3_BDPV12</stp>
        <stp>BKG LN Equity</stp>
        <stp>industry group</stp>
        <stp>[Macro RPRR.xlsx]monitor!R70C34</stp>
        <tr r="AH70" s="10"/>
      </tp>
      <tp t="s">
        <v>Forest Products&amp;Paper</v>
        <stp/>
        <stp>##V3_BDPV12</stp>
        <stp>SKG LN Equity</stp>
        <stp>industry group</stp>
        <stp>[Macro RPRR.xlsx]monitor!R35C34</stp>
        <tr r="AH35" s="10"/>
      </tp>
      <tp t="s">
        <v>Mining</v>
        <stp/>
        <stp>##V3_BDPV12</stp>
        <stp>GLEN LN Equity</stp>
        <stp>industry group</stp>
        <stp>[Macro RPRR.xlsx]monitor!R7C34</stp>
        <tr r="AH7" s="10"/>
      </tp>
      <tp>
        <v>3716.703</v>
        <stp/>
        <stp>##V3_BDPV12</stp>
        <stp>CAC FP EQUITY</stp>
        <stp>Fund Total Assets</stp>
        <stp>[Macro RPRR.xlsx]flows!R23C8</stp>
        <tr r="H23" s="12"/>
      </tp>
      <tp>
        <v>6.2558990000000003</v>
        <stp/>
        <stp>##V3_BDPV12</stp>
        <stp>SPX INDEX</stp>
        <stp>CHG PCT 1YR</stp>
        <stp>[Macro RPRR.xlsx]eco data!R15C7</stp>
        <tr r="G15" s="8"/>
      </tp>
    </main>
    <main first="bofaddin.rtdserver">
      <tp t="e">
        <v>#N/A</v>
        <stp/>
        <stp>BDH|15289818371912785447</stp>
        <tr r="AW9" s="5"/>
      </tp>
      <tp t="e">
        <v>#N/A</v>
        <stp/>
        <stp>BDH|14150690488755717386</stp>
        <tr r="AK9" s="5"/>
      </tp>
    </main>
    <main first="bloomberg.rtd">
      <tp>
        <v>2294.0100000000002</v>
        <stp/>
        <stp>##V3_BDPV12</stp>
        <stp>BND EQUITY</stp>
        <stp>MF_tot_1M</stp>
        <stp>[Macro RPRR.xlsx]flows!R9C11</stp>
        <tr r="K9" s="12"/>
      </tp>
      <tp>
        <v>0.15379000000000001</v>
        <stp/>
        <stp>##V3_BDPV12</stp>
        <stp>cnyusd curncy</stp>
        <stp>px last</stp>
        <stp>[Macro RPRR.xlsx]CBs!R3C6</stp>
        <tr r="F3" s="13"/>
      </tp>
      <tp>
        <v>130.13</v>
        <stp/>
        <stp>##V3_BDPV12</stp>
        <stp>BND EQUITY</stp>
        <stp>MF_tot_1W</stp>
        <stp>[Macro RPRR.xlsx]flows!R9C10</stp>
        <tr r="J9" s="12"/>
      </tp>
      <tp>
        <v>1.7829999999999999</v>
        <stp/>
        <stp>##V3_BDPV12</stp>
        <stp>GUKG3 index</stp>
        <stp>LAST TRADE</stp>
        <stp>[Macro RPRR.xlsx]carry+rd!R5C8</stp>
        <tr r="H5" s="1"/>
      </tp>
      <tp>
        <v>69.3</v>
        <stp/>
        <stp>##V3_BDPV12</stp>
        <stp>EUdb60de index</stp>
        <stp>px last</stp>
        <stp>[Macro RPRR.xlsx]EU countries!R7C17</stp>
        <tr r="Q7" s="11"/>
      </tp>
      <tp>
        <v>236.4</v>
        <stp/>
        <stp>##V3_BDPV12</stp>
        <stp>gddbjap index</stp>
        <stp>px last</stp>
        <stp>[Macro RPRR.xlsx]EU countries!R21C17</stp>
        <tr r="Q21" s="11"/>
      </tp>
      <tp>
        <v>8.9965130000000002</v>
        <stp/>
        <stp>##V3_BDPV12</stp>
        <stp>UKX INDEX</stp>
        <stp>CHG PCT 1YR</stp>
        <stp>[Macro RPRR.xlsx]eco data!R54C7</stp>
        <tr r="G54" s="8"/>
      </tp>
      <tp>
        <v>84</v>
        <stp/>
        <stp>##V3_BDPV12</stp>
        <stp>gddbBRA index</stp>
        <stp>px last</stp>
        <stp>[Macro RPRR.xlsx]EU countries!R24C17</stp>
        <tr r="Q24" s="11"/>
      </tp>
      <tp>
        <v>89.7</v>
        <stp/>
        <stp>##V3_BDPV12</stp>
        <stp>gddbCAN index</stp>
        <stp>px last</stp>
        <stp>[Macro RPRR.xlsx]EU countries!R27C17</stp>
        <tr r="Q27" s="11"/>
      </tp>
      <tp>
        <v>0.90800000000000003</v>
        <stp/>
        <stp>##V3_BDPV12</stp>
        <stp>gswiss10 index</stp>
        <stp>px last</stp>
        <stp>[Macro RPRR.xlsx]monitor!R11C3</stp>
        <tr r="C11" s="10"/>
      </tp>
      <tp>
        <v>40.9</v>
        <stp/>
        <stp>##V3_BDPV12</stp>
        <stp>gddbSWE index</stp>
        <stp>px last</stp>
        <stp>[Macro RPRR.xlsx]EU countries!R28C17</stp>
        <tr r="Q28" s="11"/>
      </tp>
      <tp>
        <v>-0.308</v>
        <stp/>
        <stp>##V3_BDPV12</stp>
        <stp>GDBR1 INDEX</stp>
        <stp>LAST TRADE</stp>
        <stp>[Macro RPRR.xlsx]carry+rd!R3C2</stp>
        <tr r="B3" s="1"/>
      </tp>
      <tp t="s">
        <v>Commercial Services</v>
        <stp/>
        <stp>##V3_BDPV12</stp>
        <stp>REL LN Equity</stp>
        <stp>industry group</stp>
        <stp>[Macro RPRR.xlsx]monitor!R90C34</stp>
        <tr r="AH90" s="10"/>
      </tp>
      <tp>
        <v>0.20599999999999999</v>
        <stp/>
        <stp>##V3_BDPV12</stp>
        <stp>gdbr2 index</stp>
        <stp>CHG neT 5d</stp>
        <stp>[Macro RPRR.xlsx]eco data!R12C23</stp>
        <tr r="W12" s="8"/>
      </tp>
      <tp t="s">
        <v>Internet</v>
        <stp/>
        <stp>##V3_BDPV12</stp>
        <stp>JET LN Equity</stp>
        <stp>industry group</stp>
        <stp>[Macro RPRR.xlsx]monitor!R86C34</stp>
        <tr r="AH86" s="10"/>
      </tp>
      <tp t="s">
        <v>Communication Services</v>
        <stp/>
        <stp>##V3_BDPV12</stp>
        <stp>9984 JT Equity</stp>
        <stp>gics sector name</stp>
        <stp>[Macro RPRR.xlsx]monitor!R5C39</stp>
        <tr r="AM5" s="10"/>
      </tp>
      <tp t="s">
        <v>Industrials</v>
        <stp/>
        <stp>##V3_BDPV12</stp>
        <stp>9104 JT Equity</stp>
        <stp>gics sector name</stp>
        <stp>[Macro RPRR.xlsx]monitor!R9C39</stp>
        <tr r="AM9" s="10"/>
      </tp>
      <tp>
        <v>-2.9975000000000001</v>
        <stp/>
        <stp>##V3_BDPV12</stp>
        <stp>micxru2y index</stp>
        <stp>CHG neT 1m</stp>
        <stp>[Macro RPRR.xlsx]eco data!R38C24</stp>
        <tr r="X38" s="8"/>
        <tr r="X38" s="8"/>
      </tp>
      <tp t="s">
        <v>Industrials</v>
        <stp/>
        <stp>##V3_BDPV12</stp>
        <stp>7004 JT Equity</stp>
        <stp>gics sector name</stp>
        <stp>[Macro RPRR.xlsx]monitor!R4C39</stp>
        <tr r="AM4" s="10"/>
      </tp>
      <tp>
        <v>11.65</v>
        <stp/>
        <stp>##V3_BDPV12</stp>
        <stp>BZselica INDEX</stp>
        <stp>px last</stp>
        <stp>[Macro RPRR.xlsx]monitor!R88C14</stp>
        <tr r="N88" s="10"/>
      </tp>
      <tp t="s">
        <v>#N/A N/A</v>
        <stp/>
        <stp>##V3_BDPV12</stp>
        <stp>ehbbcny index</stp>
        <stp>CHG neT 5d</stp>
        <stp>[Macro RPRR.xlsx]eco data!R20C23</stp>
        <tr r="W20" s="8"/>
      </tp>
    </main>
    <main first="bofaddin.rtdserver">
      <tp t="s">
        <v>#N/A N/A</v>
        <stp/>
        <stp>BDH|14335055108771351781</stp>
        <tr r="D7" s="13"/>
      </tp>
    </main>
    <main first="bloomberg.rtd">
      <tp>
        <v>13021.049000000001</v>
        <stp/>
        <stp>##V3_BDPV12</stp>
        <stp>wgdpeur index</stp>
        <stp>px last</stp>
        <stp>[Macro RPRR.xlsx]EU countries!R5C10</stp>
        <tr r="J5" s="11"/>
      </tp>
      <tp>
        <v>-7.2</v>
        <stp/>
        <stp>##V3_BDPV12</stp>
        <stp>EUbdital index</stp>
        <stp>px last</stp>
        <stp>[Macro RPRR.xlsx]EU countries!R9C18</stp>
        <tr r="R9" s="11"/>
      </tp>
    </main>
    <main first="bofaddin.rtdserver">
      <tp t="e">
        <v>#N/A</v>
        <stp/>
        <stp>BDH|17271434737105822727</stp>
        <tr r="AS9" s="5"/>
      </tp>
    </main>
    <main first="bloomberg.rtd">
      <tp>
        <v>0.25129899999999999</v>
        <stp/>
        <stp>##V3_BDPV12</stp>
        <stp>gtdem2y govt</stp>
        <stp>bid yield</stp>
        <stp>[Macro RPRR.xlsx]eco data!R12C22</stp>
        <tr r="V12" s="8"/>
      </tp>
      <tp>
        <v>68983.390625</v>
        <stp/>
        <stp>##V3_BDPV12</stp>
        <stp>GLD EQUITY</stp>
        <stp>Fund Total Assets</stp>
        <stp>[Macro RPRR.xlsx]flows!R15C8</stp>
        <tr r="H15" s="12"/>
      </tp>
      <tp t="s">
        <v>Insurance</v>
        <stp/>
        <stp>##V3_BDPV12</stp>
        <stp>ADM LN Equity</stp>
        <stp>industry group</stp>
        <stp>[Macro RPRR.xlsx]monitor!R48C34</stp>
        <tr r="AH48" s="10"/>
      </tp>
      <tp t="s">
        <v>Diversified Finan Serv</v>
        <stp/>
        <stp>##V3_BDPV12</stp>
        <stp>SDR LN Equity</stp>
        <stp>industry group</stp>
        <stp>[Macro RPRR.xlsx]monitor!R51C34</stp>
        <tr r="AH51" s="10"/>
      </tp>
      <tp>
        <v>-2.4889999999999999E-2</v>
        <stp/>
        <stp>##V3_BDPV12</stp>
        <stp>Jysoc INDEX</stp>
        <stp>px last</stp>
        <stp>[Macro RPRR.xlsx]eco data!R36C4</stp>
        <tr r="D36" s="8"/>
      </tp>
      <tp>
        <v>0.40699999999999997</v>
        <stp/>
        <stp>##V3_BDPV12</stp>
        <stp>gacgb10 index</stp>
        <stp>chg net 1m</stp>
        <stp>[Macro RPRR.xlsx]monitor!R15C4</stp>
        <tr r="D15" s="10"/>
      </tp>
      <tp>
        <v>1.33</v>
        <stp/>
        <stp>##V3_BDPV12</stp>
        <stp>gacgb10 index</stp>
        <stp>chg net 6m</stp>
        <stp>[Macro RPRR.xlsx]monitor!R15C5</stp>
        <tr r="E15" s="10"/>
      </tp>
      <tp>
        <v>2.73</v>
        <stp/>
        <stp>##V3_BDPV12</stp>
        <stp>ehupjp index</stp>
        <stp>px last</stp>
        <stp>[Macro RPRR.xlsx]eco data!R35C4</stp>
        <tr r="D35" s="8"/>
      </tp>
      <tp t="s">
        <v>Retail</v>
        <stp/>
        <stp>##V3_BDPV12</stp>
        <stp>JD/ LN Equity</stp>
        <stp>industry group</stp>
        <stp>[Macro RPRR.xlsx]monitor!R18C34</stp>
        <tr r="AH18" s="10"/>
      </tp>
      <tp>
        <v>-3.7</v>
        <stp/>
        <stp>##V3_BDPV12</stp>
        <stp>eubdgerm index</stp>
        <stp>px last</stp>
        <stp>[Macro RPRR.xlsx]EU countries!R7C18</stp>
        <tr r="R7" s="11"/>
      </tp>
      <tp t="s">
        <v>Information Technology</v>
        <stp/>
        <stp>##V3_BDPV12</stp>
        <stp>7735 JT Equity</stp>
        <stp>gics sector name</stp>
        <stp>[Macro RPRR.xlsx]monitor!R7C39</stp>
        <tr r="AM7" s="10"/>
      </tp>
    </main>
    <main first="bofaddin.rtdserver">
      <tp t="e">
        <v>#N/A</v>
        <stp/>
        <stp>BDH|15802146544240016350</stp>
        <tr r="AV9" s="5"/>
      </tp>
    </main>
    <main first="bloomberg.rtd">
      <tp>
        <v>-135.99</v>
        <stp/>
        <stp>##V3_BDPV12</stp>
        <stp>VTI EQUITY</stp>
        <stp>MF_tot_1M</stp>
        <stp>[Macro RPRR.xlsx]flows!R4C11</stp>
        <tr r="K4" s="12"/>
      </tp>
      <tp>
        <v>66.149410000000003</v>
        <stp/>
        <stp>##V3_BDPV12</stp>
        <stp>IVV EQUITY</stp>
        <stp>MF_tot_1D</stp>
        <stp>[Macro RPRR.xlsx]flows!R3C9</stp>
        <tr r="I3" s="12"/>
      </tp>
      <tp>
        <v>16.02</v>
        <stp/>
        <stp>##V3_BDPV12</stp>
        <stp>VTI EQUITY</stp>
        <stp>MF_tot_1W</stp>
        <stp>[Macro RPRR.xlsx]flows!R4C10</stp>
        <tr r="J4" s="12"/>
      </tp>
      <tp>
        <v>1.887</v>
        <stp/>
        <stp>##V3_BDPV12</stp>
        <stp>GUKG7 index</stp>
        <stp>LAST TRADE</stp>
        <stp>[Macro RPRR.xlsx]carry+rd!R8C8</stp>
        <tr r="H8" s="1"/>
      </tp>
      <tp t="s">
        <v>Software</v>
        <stp/>
        <stp>##V3_BDPV12</stp>
        <stp>SGE LN Equity</stp>
        <stp>industry group</stp>
        <stp>[Macro RPRR.xlsx]monitor!R62C34</stp>
        <tr r="AH62" s="10"/>
      </tp>
      <tp t="s">
        <v>Beverages</v>
        <stp/>
        <stp>##V3_BDPV12</stp>
        <stp>DGE LN Equity</stp>
        <stp>industry group</stp>
        <stp>[Macro RPRR.xlsx]monitor!R60C34</stp>
        <tr r="AH60" s="10"/>
      </tp>
      <tp>
        <v>4.4865570000000004</v>
        <stp/>
        <stp>##V3_BDPV12</stp>
        <stp>PSI20 index</stp>
        <stp>chg PCt 6m</stp>
        <stp>[Macro RPRR.xlsx]monitor!R10C15</stp>
        <tr r="O10" s="10"/>
      </tp>
      <tp>
        <v>3.6434690000000001</v>
        <stp/>
        <stp>##V3_BDPV12</stp>
        <stp>PSI20 index</stp>
        <stp>chg PCt 1m</stp>
        <stp>[Macro RPRR.xlsx]monitor!R10C14</stp>
        <tr r="N10" s="10"/>
      </tp>
      <tp>
        <v>0.28999999999999998</v>
        <stp/>
        <stp>##V3_BDPV12</stp>
        <stp>gnzgb10 index</stp>
        <stp>chg net 1m</stp>
        <stp>[Macro RPRR.xlsx]monitor!R16C4</stp>
        <tr r="D16" s="10"/>
      </tp>
      <tp>
        <v>1.08</v>
        <stp/>
        <stp>##V3_BDPV12</stp>
        <stp>gnzgb10 index</stp>
        <stp>chg net 6m</stp>
        <stp>[Macro RPRR.xlsx]monitor!R16C5</stp>
        <tr r="E16" s="10"/>
      </tp>
      <tp>
        <v>1.2</v>
        <stp/>
        <stp>##V3_BDPV12</stp>
        <stp>TWI BPSP curncy</stp>
        <stp>CHG PCT 1yr</stp>
        <stp>[Macro RPRR.xlsx]eco data!R53C7</stp>
        <tr r="G53" s="8"/>
      </tp>
      <tp>
        <v>5.8</v>
        <stp/>
        <stp>##V3_BDPV12</stp>
        <stp>umrtpt index</stp>
        <stp>px last</stp>
        <stp>[Macro RPRR.xlsx]EU countries!R13C16</stp>
        <tr r="P13" s="11"/>
      </tp>
      <tp>
        <v>12.6</v>
        <stp/>
        <stp>##V3_BDPV12</stp>
        <stp>umrtes index</stp>
        <stp>px last</stp>
        <stp>[Macro RPRR.xlsx]EU countries!R10C16</stp>
        <tr r="P10" s="11"/>
      </tp>
      <tp>
        <v>11.9</v>
        <stp/>
        <stp>##V3_BDPV12</stp>
        <stp>umrtgr index</stp>
        <stp>px last</stp>
        <stp>[Macro RPRR.xlsx]EU countries!R12C16</stp>
        <tr r="P12" s="11"/>
      </tp>
      <tp>
        <v>5.5</v>
        <stp/>
        <stp>##V3_BDPV12</stp>
        <stp>umrtie index</stp>
        <stp>px last</stp>
        <stp>[Macro RPRR.xlsx]EU countries!R14C16</stp>
        <tr r="P14" s="11"/>
      </tp>
      <tp>
        <v>3.3</v>
        <stp/>
        <stp>##V3_BDPV12</stp>
        <stp>umrtnl index</stp>
        <stp>px last</stp>
        <stp>[Macro RPRR.xlsx]EU countries!R11C16</stp>
        <tr r="P11" s="11"/>
      </tp>
      <tp>
        <v>-6.5</v>
        <stp/>
        <stp>##V3_BDPV12</stp>
        <stp>EUbdfran index</stp>
        <stp>px last</stp>
        <stp>[Macro RPRR.xlsx]EU countries!R8C18</stp>
        <tr r="R8" s="11"/>
      </tp>
      <tp>
        <v>1637.896</v>
        <stp/>
        <stp>##V3_BDPV12</stp>
        <stp>wgdpKORE index</stp>
        <stp>px last</stp>
        <stp>[Macro RPRR.xlsx]EU countries!R31C10</stp>
        <tr r="J31" s="11"/>
      </tp>
      <tp>
        <v>5.9220699999999997</v>
        <stp/>
        <stp>##V3_BDPV12</stp>
        <stp>AS51 index</stp>
        <stp>chg PCt 1yr</stp>
        <stp>[Macro RPRR.xlsx]monitor!R15C16</stp>
        <tr r="P15" s="10"/>
      </tp>
      <tp>
        <v>13.70995924391897</v>
        <stp/>
        <stp>##V3_BDPV12</stp>
        <stp>SPTSX index</stp>
        <stp>best pe ratio</stp>
        <stp>[Macro RPRR.xlsx]monitor!R5C13</stp>
        <tr r="M5" s="10"/>
      </tp>
      <tp>
        <v>0.123</v>
        <stp/>
        <stp>##V3_BDPV12</stp>
        <stp>gspt10yr index</stp>
        <stp>CHG neT 5d</stp>
        <stp>[Macro RPRR.xlsx]eco data!R13C14</stp>
        <tr r="N13" s="8"/>
      </tp>
      <tp>
        <v>0.59199999999999997</v>
        <stp/>
        <stp>##V3_BDPV12</stp>
        <stp>gbtp10yr index</stp>
        <stp>CHG neT 1m</stp>
        <stp>[Macro RPRR.xlsx]eco data!R39C15</stp>
        <tr r="O39" s="8"/>
      </tp>
      <tp>
        <v>-2.8</v>
        <stp/>
        <stp>##V3_BDPV12</stp>
        <stp>ehupes index</stp>
        <stp>CHG neT 1yr</stp>
        <stp>[Macro RPRR.xlsx]eco data!R22C16</stp>
        <tr r="P22" s="8"/>
        <tr r="P22" s="8"/>
      </tp>
      <tp>
        <v>-0.63</v>
        <stp/>
        <stp>##V3_BDPV12</stp>
        <stp>ehupfr index</stp>
        <stp>CHG neT 1yr</stp>
        <stp>[Macro RPRR.xlsx]eco data!R48C16</stp>
        <tr r="P48" s="8"/>
        <tr r="P48" s="8"/>
      </tp>
      <tp>
        <v>-0.74</v>
        <stp/>
        <stp>##V3_BDPV12</stp>
        <stp>ehupit index</stp>
        <stp>CHG neT 1yr</stp>
        <stp>[Macro RPRR.xlsx]eco data!R35C16</stp>
        <tr r="P35" s="8"/>
        <tr r="P35" s="8"/>
      </tp>
      <tp>
        <v>-1.8</v>
        <stp/>
        <stp>##V3_BDPV12</stp>
        <stp>ehupru index</stp>
        <stp>CHG neT 1yr</stp>
        <stp>[Macro RPRR.xlsx]eco data!R35C25</stp>
        <tr r="Y35" s="8"/>
        <tr r="Y35" s="8"/>
      </tp>
      <tp>
        <v>-0.28000000000000003</v>
        <stp/>
        <stp>##V3_BDPV12</stp>
        <stp>ehupcn index</stp>
        <stp>CHG neT 1yr</stp>
        <stp>[Macro RPRR.xlsx]eco data!R22C25</stp>
        <tr r="Y22" s="8"/>
        <tr r="Y22" s="8"/>
      </tp>
      <tp>
        <v>-8.9999999999999993E-3</v>
        <stp/>
        <stp>##V3_BDPV12</stp>
        <stp>getb1 index</stp>
        <stp>CHG neT 5d</stp>
        <stp>[Macro RPRR.xlsx]eco data!R10C23</stp>
        <tr r="W10" s="8"/>
        <tr r="W10" s="8"/>
      </tp>
      <tp>
        <v>7.1</v>
        <stp/>
        <stp>##V3_BDPV12</stp>
        <stp>ehupeu index</stp>
        <stp>px last</stp>
        <stp>[Macro RPRR.xlsx]eco data!R22C4</stp>
        <tr r="D22" s="8"/>
      </tp>
      <tp>
        <v>11053.48</v>
        <stp/>
        <stp>##V3_BDPV12</stp>
        <stp>ISF LN EQUITY</stp>
        <stp>Fund Total Assets</stp>
        <stp>[Macro RPRR.xlsx]flows!R22C8</stp>
        <tr r="H22" s="12"/>
      </tp>
      <tp>
        <v>-0.13139999999999999</v>
        <stp/>
        <stp>##V3_BDPV12</stp>
        <stp>CEERUS curncy</stp>
        <stp>CHG PCT 5d</stp>
        <stp>[Macro RPRR.xlsx]eco data!R14C5</stp>
        <tr r="E14" s="8"/>
      </tp>
      <tp>
        <v>-5.0999999999999996</v>
        <stp/>
        <stp>##V3_BDPV12</stp>
        <stp>eubdeuro index</stp>
        <stp>px last</stp>
        <stp>[Macro RPRR.xlsx]EU countries!R5C18</stp>
        <tr r="R5" s="11"/>
      </tp>
      <tp t="s">
        <v>Industrials</v>
        <stp/>
        <stp>##V3_BDPV12</stp>
        <stp>9107 JT Equity</stp>
        <stp>gics sector name</stp>
        <stp>[Macro RPRR.xlsx]monitor!R3C39</stp>
        <tr r="AM3" s="10"/>
      </tp>
      <tp>
        <v>0.55120000000000002</v>
        <stp/>
        <stp>##V3_BDPV12</stp>
        <stp>CEERUS curncy</stp>
        <stp>CHG PCT 1M</stp>
        <stp>[Macro RPRR.xlsx]eco data!R14C6</stp>
        <tr r="F14" s="8"/>
      </tp>
      <tp t="s">
        <v>Information Technology</v>
        <stp/>
        <stp>##V3_BDPV12</stp>
        <stp>6857 JT Equity</stp>
        <stp>gics sector name</stp>
        <stp>[Macro RPRR.xlsx]monitor!R8C39</stp>
        <tr r="AM8" s="10"/>
      </tp>
    </main>
    <main first="bofaddin.rtdserver">
      <tp t="e">
        <v>#N/A</v>
        <stp/>
        <stp>BDH|16262594474160722580</stp>
        <tr r="AI9" s="5"/>
      </tp>
    </main>
    <main first="bloomberg.rtd">
      <tp>
        <v>6.95</v>
        <stp/>
        <stp>##V3_BDPV12</stp>
        <stp>INFUTOTy INDEX</stp>
        <stp>PX LAST</stp>
        <stp>[Macro RPRR.xlsx]EU countries!R23C15</stp>
        <tr r="O23" s="11"/>
      </tp>
      <tp>
        <v>23.72166</v>
        <stp/>
        <stp>##V3_BDPV12</stp>
        <stp>PSI20 index</stp>
        <stp>chg PCt 5yr</stp>
        <stp>[Macro RPRR.xlsx]monitor!R10C17</stp>
        <tr r="Q10" s="10"/>
      </tp>
      <tp>
        <v>110.12</v>
        <stp/>
        <stp>##V3_BDPV12</stp>
        <stp>VOO EQUITY</stp>
        <stp>MF_tot_1M</stp>
        <stp>[Macro RPRR.xlsx]flows!R5C11</stp>
        <tr r="K5" s="12"/>
      </tp>
      <tp>
        <v>-5.1999999999999998E-2</v>
        <stp/>
        <stp>##V3_BDPV12</stp>
        <stp>gtjpy2y govt</stp>
        <stp>bid yield</stp>
        <stp>[Macro RPRR.xlsx]eco data!R38C4</stp>
        <tr r="D38" s="8"/>
      </tp>
      <tp>
        <v>15.238136426076434</v>
        <stp/>
        <stp>##V3_BDPV12</stp>
        <stp>SX86E index</stp>
        <stp>best pe ratio</stp>
        <stp>[Macro RPRR.xlsx]monitor!R55C13</stp>
        <tr r="M55" s="10"/>
      </tp>
      <tp>
        <v>353.09</v>
        <stp/>
        <stp>##V3_BDPV12</stp>
        <stp>VOO EQUITY</stp>
        <stp>MF_tot_1W</stp>
        <stp>[Macro RPRR.xlsx]flows!R5C10</stp>
        <tr r="J5" s="12"/>
      </tp>
      <tp>
        <v>32983.24609375</v>
        <stp/>
        <stp>##V3_BDPV12</stp>
        <stp>LQD EQUITY</stp>
        <stp>Fund Total Assets</stp>
        <stp>[Macro RPRR.xlsx]flows!R10C8</stp>
        <tr r="H10" s="12"/>
      </tp>
      <tp t="s">
        <v>#N/A N/A</v>
        <stp/>
        <stp>##V3_BDPV12</stp>
        <stp>gdp cqoq index</stp>
        <stp>CHG neT 5d</stp>
        <stp>[Macro RPRR.xlsx]eco data!R5C5</stp>
        <tr r="E5" s="8"/>
      </tp>
      <tp t="s">
        <v>#N/A N/A</v>
        <stp/>
        <stp>##V3_BDPV12</stp>
        <stp>gdp cqoq index</stp>
        <stp>CHG neT 1m</stp>
        <stp>[Macro RPRR.xlsx]eco data!R5C6</stp>
        <tr r="F5" s="8"/>
      </tp>
      <tp t="s">
        <v>Mining</v>
        <stp/>
        <stp>##V3_BDPV12</stp>
        <stp>AAL LN Equity</stp>
        <stp>industry group</stp>
        <stp>[Macro RPRR.xlsx]monitor!R32C34</stp>
        <tr r="AH32" s="10"/>
      </tp>
      <tp>
        <v>0.72099999999999997</v>
        <stp/>
        <stp>##V3_BDPV12</stp>
        <stp>GDBR5 index</stp>
        <stp>LAST TRADE</stp>
        <stp>[Macro RPRR.xlsx]carry+rd!R7C2</stp>
        <tr r="B7" s="1"/>
      </tp>
      <tp>
        <v>5.5</v>
        <stp/>
        <stp>##V3_BDPV12</stp>
        <stp>ptcphayy INDEX</stp>
        <stp>px last</stp>
        <stp>[Macro RPRR.xlsx]eco data!R4C13</stp>
        <tr r="M4" s="8"/>
      </tp>
      <tp>
        <v>0.48799999999999999</v>
        <stp/>
        <stp>##V3_BDPV12</stp>
        <stp>gdbr2 index</stp>
        <stp>CHG neT 1m</stp>
        <stp>[Macro RPRR.xlsx]eco data!R12C24</stp>
        <tr r="X12" s="8"/>
      </tp>
      <tp>
        <v>8.5206379999999999</v>
        <stp/>
        <stp>##V3_BDPV12</stp>
        <stp>svx index</stp>
        <stp>chg PCt 1yr</stp>
        <stp>[Macro RPRR.xlsx]monitor!R76C6</stp>
        <tr r="F76" s="10"/>
      </tp>
      <tp t="s">
        <v>Aerospace/Defense</v>
        <stp/>
        <stp>##V3_BDPV12</stp>
        <stp>BA/ LN Equity</stp>
        <stp>industry group</stp>
        <stp>[Macro RPRR.xlsx]monitor!R95C34</stp>
        <tr r="AH95" s="10"/>
      </tp>
      <tp>
        <v>52.631279999999997</v>
        <stp/>
        <stp>##V3_BDPV12</stp>
        <stp>svx index</stp>
        <stp>chg PCt 5yr</stp>
        <stp>[Macro RPRR.xlsx]monitor!R76C7</stp>
        <tr r="G76" s="10"/>
      </tp>
      <tp>
        <v>-4.1095439999999996</v>
        <stp/>
        <stp>##V3_BDPV12</stp>
        <stp>SX5E INDEX</stp>
        <stp>CHG PCT 1YR</stp>
        <stp>[Macro RPRR.xlsx]eco data!R28C7</stp>
        <tr r="G28" s="8"/>
      </tp>
      <tp>
        <v>-1.1341000000000001</v>
        <stp/>
        <stp>##V3_BDPV12</stp>
        <stp>micxru2y index</stp>
        <stp>CHG neT 5d</stp>
        <stp>[Macro RPRR.xlsx]eco data!R38C23</stp>
        <tr r="W38" s="8"/>
        <tr r="W38" s="8"/>
      </tp>
      <tp>
        <v>2.4</v>
        <stp/>
        <stp>##V3_BDPV12</stp>
        <stp>szcpiyoy INDEX</stp>
        <stp>PX LAST</stp>
        <stp>[Macro RPRR.xlsx]EU countries!R18C15</stp>
        <tr r="O18" s="11"/>
      </tp>
      <tp t="s">
        <v>#N/A N/A</v>
        <stp/>
        <stp>##V3_BDPV12</stp>
        <stp>ehbbcny index</stp>
        <stp>CHG neT 1m</stp>
        <stp>[Macro RPRR.xlsx]eco data!R20C24</stp>
        <tr r="X20" s="8"/>
      </tp>
      <tp>
        <v>7.3</v>
        <stp/>
        <stp>##V3_BDPV12</stp>
        <stp>grcp20yy INDEX</stp>
        <stp>PX LAST</stp>
        <stp>[Macro RPRR.xlsx]eco data!R4C22</stp>
        <tr r="V4" s="8"/>
      </tp>
      <tp>
        <v>542.57159999999999</v>
        <stp/>
        <stp>##V3_BDPV12</stp>
        <stp>SPY EQUITY</stp>
        <stp>MF_tot_1D</stp>
        <stp>[Macro RPRR.xlsx]flows!R2C9</stp>
        <tr r="I2" s="12"/>
      </tp>
      <tp>
        <v>7.8E-2</v>
        <stp/>
        <stp>##V3_BDPV12</stp>
        <stp>lisb3m index</stp>
        <stp>CHG neT 1yr</stp>
        <stp>[Macro RPRR.xlsx]eco data!R11C16</stp>
        <tr r="P11" s="8"/>
        <tr r="P11" s="8"/>
      </tp>
      <tp>
        <v>16046.83</v>
        <stp/>
        <stp>##V3_BDPV12</stp>
        <stp>IEF EQUITY</stp>
        <stp>Fund Total Assets</stp>
        <stp>[Macro RPRR.xlsx]flows!R13C8</stp>
        <tr r="H13" s="12"/>
      </tp>
      <tp>
        <v>2.6240000000000001</v>
        <stp/>
        <stp>##V3_BDPV12</stp>
        <stp>GBTPGR10 index</stp>
        <stp>LAST TRADE</stp>
        <stp>[Macro RPRR.xlsx]carry+rd!R9C20</stp>
        <tr r="T9" s="1"/>
      </tp>
      <tp>
        <v>0.61199999999999999</v>
        <stp/>
        <stp>##V3_BDPV12</stp>
        <stp>GDBR4 index</stp>
        <stp>LAST TRADE</stp>
        <stp>[Macro RPRR.xlsx]carry+rd!R6C2</stp>
        <tr r="B6" s="1"/>
      </tp>
      <tp t="s">
        <v>Industrials</v>
        <stp/>
        <stp>##V3_BDPV12</stp>
        <stp>9101 JT Equity</stp>
        <stp>gics sector name</stp>
        <stp>[Macro RPRR.xlsx]monitor!R2C39</stp>
        <tr r="AM2" s="10"/>
      </tp>
      <tp>
        <v>11.2</v>
        <stp/>
        <stp>##V3_BDPV12</stp>
        <stp>ehupBR index</stp>
        <stp>px last</stp>
        <stp>[Macro RPRR.xlsx]EU countries!R24C16</stp>
        <tr r="P24" s="11"/>
      </tp>
      <tp>
        <v>5.77</v>
        <stp/>
        <stp>##V3_BDPV12</stp>
        <stp>ehupCA index</stp>
        <stp>px last</stp>
        <stp>[Macro RPRR.xlsx]EU countries!R27C16</stp>
        <tr r="P27" s="11"/>
      </tp>
      <tp>
        <v>4.07</v>
        <stp/>
        <stp>##V3_BDPV12</stp>
        <stp>ehupAU index</stp>
        <stp>px last</stp>
        <stp>[Macro RPRR.xlsx]EU countries!R29C16</stp>
        <tr r="P29" s="11"/>
      </tp>
      <tp>
        <v>3</v>
        <stp/>
        <stp>##V3_BDPV12</stp>
        <stp>ehupKR index</stp>
        <stp>px last</stp>
        <stp>[Macro RPRR.xlsx]EU countries!R31C16</stp>
        <tr r="P31" s="11"/>
      </tp>
      <tp>
        <v>3.2</v>
        <stp/>
        <stp>##V3_BDPV12</stp>
        <stp>ehupNZ index</stp>
        <stp>px last</stp>
        <stp>[Macro RPRR.xlsx]EU countries!R30C16</stp>
        <tr r="P30" s="11"/>
      </tp>
      <tp>
        <v>7.47</v>
        <stp/>
        <stp>##V3_BDPV12</stp>
        <stp>ehupSE index</stp>
        <stp>px last</stp>
        <stp>[Macro RPRR.xlsx]EU countries!R28C16</stp>
        <tr r="P28" s="11"/>
      </tp>
      <tp>
        <v>3.96</v>
        <stp/>
        <stp>##V3_BDPV12</stp>
        <stp>ehupcn index</stp>
        <stp>px last</stp>
        <stp>[Macro RPRR.xlsx]EU countries!R22C16</stp>
        <tr r="P22" s="11"/>
      </tp>
      <tp>
        <v>4.13</v>
        <stp/>
        <stp>##V3_BDPV12</stp>
        <stp>ehupgb index</stp>
        <stp>px last</stp>
        <stp>[Macro RPRR.xlsx]EU countries!R19C16</stp>
        <tr r="P19" s="11"/>
      </tp>
      <tp>
        <v>2.73</v>
        <stp/>
        <stp>##V3_BDPV12</stp>
        <stp>ehupjp index</stp>
        <stp>px last</stp>
        <stp>[Macro RPRR.xlsx]EU countries!R21C16</stp>
        <tr r="P21" s="11"/>
      </tp>
      <tp>
        <v>3.8</v>
        <stp/>
        <stp>##V3_BDPV12</stp>
        <stp>ehupus index</stp>
        <stp>px last</stp>
        <stp>[Macro RPRR.xlsx]EU countries!R20C16</stp>
        <tr r="P20" s="11"/>
      </tp>
    </main>
    <main first="bofaddin.rtdserver">
      <tp t="e">
        <v>#N/A</v>
        <stp/>
        <stp>BDH|12900324148675645748</stp>
        <tr r="AN9" s="5"/>
      </tp>
    </main>
    <main first="bloomberg.rtd">
      <tp>
        <v>95.6</v>
        <stp/>
        <stp>##V3_BDPV12</stp>
        <stp>EUdbeuro index</stp>
        <stp>px last</stp>
        <stp>[Macro RPRR.xlsx]EU countries!R5C17</stp>
        <tr r="Q5" s="11"/>
      </tp>
      <tp>
        <v>-6.2E-2</v>
        <stp/>
        <stp>##V3_BDPV12</stp>
        <stp>gspg3m index</stp>
        <stp>CHG neT 1yr</stp>
        <stp>[Macro RPRR.xlsx]eco data!R23C16</stp>
        <tr r="P23" s="8"/>
      </tp>
      <tp>
        <v>7.79E-3</v>
        <stp/>
        <stp>##V3_BDPV12</stp>
        <stp>jpyusd curncy</stp>
        <stp>px last</stp>
        <stp>[Macro RPRR.xlsx]CBs!R3C5</stp>
        <tr r="E3" s="13"/>
      </tp>
      <tp t="s">
        <v>Oil&amp;Gas</v>
        <stp/>
        <stp>##V3_BDPV12</stp>
        <stp>DCC LN Equity</stp>
        <stp>industry group</stp>
        <stp>[Macro RPRR.xlsx]monitor!R75C34</stp>
        <tr r="AH75" s="10"/>
      </tp>
      <tp t="s">
        <v>Beverages</v>
        <stp/>
        <stp>##V3_BDPV12</stp>
        <stp>CCH LN Equity</stp>
        <stp>industry group</stp>
        <stp>[Macro RPRR.xlsx]monitor!R45C34</stp>
        <tr r="AH45" s="10"/>
      </tp>
      <tp>
        <v>0.47899999999999998</v>
        <stp/>
        <stp>##V3_BDPV12</stp>
        <stp>GDBR3 index</stp>
        <stp>LAST TRADE</stp>
        <stp>[Macro RPRR.xlsx]carry+rd!R5C2</stp>
        <tr r="B5" s="1"/>
      </tp>
      <tp t="s">
        <v>Private Equity</v>
        <stp/>
        <stp>##V3_BDPV12</stp>
        <stp>ICP LN Equity</stp>
        <stp>industry group</stp>
        <stp>[Macro RPRR.xlsx]monitor!R10C34</stp>
        <tr r="AH10" s="10"/>
      </tp>
      <tp>
        <v>0.94199999999999995</v>
        <stp/>
        <stp>##V3_BDPV12</stp>
        <stp>GDBR10 index</stp>
        <stp>LAST TRADE</stp>
        <stp>[Macro RPRR.xlsx]carry+rd!R9C2</stp>
        <tr r="B9" s="1"/>
      </tp>
      <tp>
        <v>0.68479999999999996</v>
        <stp/>
        <stp>##V3_BDPV12</stp>
        <stp>CEEREU curncy</stp>
        <stp>CHG PCT 5d</stp>
        <stp>[Macro RPRR.xlsx]eco data!R27C5</stp>
        <tr r="E27" s="8"/>
      </tp>
      <tp>
        <v>1.3452999999999999</v>
        <stp/>
        <stp>##V3_BDPV12</stp>
        <stp>CEEREU curncy</stp>
        <stp>CHG PCT 1M</stp>
        <stp>[Macro RPRR.xlsx]eco data!R27C6</stp>
        <tr r="F27" s="8"/>
      </tp>
      <tp>
        <v>-4.0754460000000003</v>
        <stp/>
        <stp>##V3_BDPV12</stp>
        <stp>SX86E index</stp>
        <stp>chg PCt 1m</stp>
        <stp>[Macro RPRR.xlsx]monitor!R55C16</stp>
        <tr r="P55" s="10"/>
      </tp>
      <tp>
        <v>-12.368499999999999</v>
        <stp/>
        <stp>##V3_BDPV12</stp>
        <stp>SX86E index</stp>
        <stp>chg PCt 6m</stp>
        <stp>[Macro RPRR.xlsx]monitor!R55C17</stp>
        <tr r="Q55" s="10"/>
      </tp>
    </main>
    <main first="bofaddin.rtdserver">
      <tp t="e">
        <v>#N/A</v>
        <stp/>
        <stp>BDH|12650548060655726085</stp>
        <tr r="AL9" s="5"/>
      </tp>
    </main>
    <main first="bloomberg.rtd">
      <tp>
        <v>27.658000000000001</v>
        <stp/>
        <stp>##V3_BDPV12</stp>
        <stp>AS51 index</stp>
        <stp>chg PCt 5yr</stp>
        <stp>[Macro RPRR.xlsx]monitor!R15C17</stp>
        <tr r="Q15" s="10"/>
      </tp>
      <tp>
        <v>0.123</v>
        <stp/>
        <stp>##V3_BDPV12</stp>
        <stp>gbtp10yr index</stp>
        <stp>CHG neT 5d</stp>
        <stp>[Macro RPRR.xlsx]eco data!R39C14</stp>
        <tr r="N39" s="8"/>
      </tp>
      <tp>
        <v>7.030996</v>
        <stp/>
        <stp>##V3_BDPV12</stp>
        <stp>VTI EQUITY</stp>
        <stp>MF_tot_1D</stp>
        <stp>[Macro RPRR.xlsx]flows!R4C9</stp>
        <tr r="I4" s="12"/>
      </tp>
      <tp>
        <v>0.67</v>
        <stp/>
        <stp>##V3_BDPV12</stp>
        <stp>gspt10yr index</stp>
        <stp>CHG neT 1m</stp>
        <stp>[Macro RPRR.xlsx]eco data!R13C15</stp>
        <tr r="O13" s="8"/>
      </tp>
      <tp t="s">
        <v>Food</v>
        <stp/>
        <stp>##V3_BDPV12</stp>
        <stp>ABF LN Equity</stp>
        <stp>industry group</stp>
        <stp>[Macro RPRR.xlsx]monitor!R49C34</stp>
        <tr r="AH49" s="10"/>
      </tp>
      <tp>
        <v>0.251</v>
        <stp/>
        <stp>##V3_BDPV12</stp>
        <stp>GDBR2 index</stp>
        <stp>LAST TRADE</stp>
        <stp>[Macro RPRR.xlsx]carry+rd!R4C2</stp>
        <tr r="B4" s="1"/>
      </tp>
      <tp t="s">
        <v>Machinery-Constr&amp;Mining</v>
        <stp/>
        <stp>##V3_BDPV12</stp>
        <stp>WEIR LN Equity</stp>
        <stp>industry group</stp>
        <stp>[Macro RPRR.xlsx]monitor!R4C34</stp>
        <tr r="AH4" s="10"/>
      </tp>
      <tp>
        <v>2.887</v>
        <stp/>
        <stp>##V3_BDPV12</stp>
        <stp>gcan10yr index</stp>
        <stp>px last</stp>
        <stp>[Macro RPRR.xlsx]monitor!R5C3</stp>
        <tr r="C5" s="10"/>
      </tp>
      <tp>
        <v>3.5999999999999997E-2</v>
        <stp/>
        <stp>##V3_BDPV12</stp>
        <stp>getb1 index</stp>
        <stp>CHG neT 1m</stp>
        <stp>[Macro RPRR.xlsx]eco data!R10C24</stp>
        <tr r="X10" s="8"/>
        <tr r="X10" s="8"/>
      </tp>
      <tp t="s">
        <v>Household Products/Wares</v>
        <stp/>
        <stp>##V3_BDPV12</stp>
        <stp>RB/ LN Equity</stp>
        <stp>industry group</stp>
        <stp>[Macro RPRR.xlsx]monitor!R91C34</stp>
        <tr r="AH91" s="10"/>
      </tp>
      <tp t="s">
        <v>Health Care</v>
        <stp/>
        <stp>##V3_BDPV12</stp>
        <stp>2413 JT Equity</stp>
        <stp>gics sector name</stp>
        <stp>[Macro RPRR.xlsx]monitor!R6C39</stp>
        <tr r="AM6" s="10"/>
      </tp>
      <tp>
        <v>210.70099999999999</v>
        <stp/>
        <stp>##V3_BDPV12</stp>
        <stp>wgdpNEWZ index</stp>
        <stp>px last</stp>
        <stp>[Macro RPRR.xlsx]EU countries!R30C10</stp>
        <tr r="J30" s="11"/>
      </tp>
      <tp>
        <v>20.407540000000001</v>
        <stp/>
        <stp>##V3_BDPV12</stp>
        <stp>PSI20 index</stp>
        <stp>chg PCt 1yr</stp>
        <stp>[Macro RPRR.xlsx]monitor!R10C16</stp>
        <tr r="P10" s="10"/>
      </tp>
      <tp>
        <v>23.414784676510497</v>
        <stp/>
        <stp>##V3_BDPV12</stp>
        <stp>SX8E index</stp>
        <stp>best pe ratio</stp>
        <stp>[Macro RPRR.xlsx]monitor!R52C13</stp>
        <tr r="M52" s="10"/>
      </tp>
      <tp>
        <v>6.3</v>
        <stp/>
        <stp>##V3_BDPV12</stp>
        <stp>rudprYOY index</stp>
        <stp>CHG neT 1yr</stp>
        <stp>[Macro RPRR.xlsx]eco data!R32C25</stp>
        <tr r="Y32" s="8"/>
        <tr r="Y32" s="8"/>
      </tp>
      <tp>
        <v>21.370753042237471</v>
        <stp/>
        <stp>##V3_BDPV12</stp>
        <stp>SX3E index</stp>
        <stp>best pe ratio</stp>
        <stp>[Macro RPRR.xlsx]monitor!R48C13</stp>
        <tr r="M48" s="10"/>
      </tp>
      <tp>
        <v>17.433119281212615</v>
        <stp/>
        <stp>##V3_BDPV12</stp>
        <stp>SX4E index</stp>
        <stp>best pe ratio</stp>
        <stp>[Macro RPRR.xlsx]monitor!R45C13</stp>
        <tr r="M45" s="10"/>
      </tp>
      <tp>
        <v>14.447841148471936</v>
        <stp/>
        <stp>##V3_BDPV12</stp>
        <stp>SX6E index</stp>
        <stp>best pe ratio</stp>
        <stp>[Macro RPRR.xlsx]monitor!R53C13</stp>
        <tr r="M53" s="10"/>
      </tp>
      <tp>
        <v>8.0716107089735818</v>
        <stp/>
        <stp>##V3_BDPV12</stp>
        <stp>SX7E index</stp>
        <stp>best pe ratio</stp>
        <stp>[Macro RPRR.xlsx]monitor!R37C13</stp>
        <tr r="M37" s="10"/>
      </tp>
    </main>
    <main first="bloomberg.rtd">
      <tp>
        <v>5.7</v>
        <stp/>
        <stp>##V3_BDPV12</stp>
        <stp>itcpiyoy index</stp>
        <stp>CHG neT 1yr</stp>
        <stp>[Macro RPRR.xlsx]eco data!R31C16</stp>
        <tr r="P31" s="8"/>
        <tr r="P31" s="8"/>
      </tp>
      <tp>
        <v>0</v>
        <stp/>
        <stp>##V3_BDPV12</stp>
        <stp>IBGX LN EQUITY</stp>
        <stp>MF_tot_1D</stp>
        <stp>[Macro RPRR.xlsx]flows!R29C9</stp>
        <tr r="I29" s="12"/>
      </tp>
      <tp>
        <v>34.931139999999999</v>
        <stp/>
        <stp>##V3_BDPV12</stp>
        <stp>9432 JT Equity</stp>
        <stp>chg PCt 1yr</stp>
        <stp>[Macro RPRR.xlsx]monitor!R186C38</stp>
        <tr r="AL186" s="10"/>
      </tp>
      <tp>
        <v>26.55602</v>
        <stp/>
        <stp>##V3_BDPV12</stp>
        <stp>9433 JT Equity</stp>
        <stp>chg PCt 1yr</stp>
        <stp>[Macro RPRR.xlsx]monitor!R187C38</stp>
        <tr r="AL187" s="10"/>
      </tp>
      <tp>
        <v>3.0795849999999998</v>
        <stp/>
        <stp>##V3_BDPV12</stp>
        <stp>9434 JT Equity</stp>
        <stp>chg PCt 1yr</stp>
        <stp>[Macro RPRR.xlsx]monitor!R192C38</stp>
        <tr r="AL192" s="10"/>
      </tp>
      <tp>
        <v>-15.25773</v>
        <stp/>
        <stp>##V3_BDPV12</stp>
        <stp>9412 JT Equity</stp>
        <stp>chg PCt 1yr</stp>
        <stp>[Macro RPRR.xlsx]monitor!R145C38</stp>
        <tr r="AL145" s="10"/>
      </tp>
      <tp>
        <v>-1.6449549999999999</v>
        <stp/>
        <stp>##V3_BDPV12</stp>
        <stp>9735 JT Equity</stp>
        <stp>chg PCt 1yr</stp>
        <stp>[Macro RPRR.xlsx]monitor!R197C38</stp>
        <tr r="AL197" s="10"/>
      </tp>
      <tp>
        <v>12.29698</v>
        <stp/>
        <stp>##V3_BDPV12</stp>
        <stp>9503 JT Equity</stp>
        <stp>chg PCt 1yr</stp>
        <stp>[Macro RPRR.xlsx]monitor!R210C38</stp>
        <tr r="AL210" s="10"/>
      </tp>
      <tp>
        <v>5.6930690000000004</v>
        <stp/>
        <stp>##V3_BDPV12</stp>
        <stp>9532 JT Equity</stp>
        <stp>chg PCt 1yr</stp>
        <stp>[Macro RPRR.xlsx]monitor!R201C38</stp>
        <tr r="AL201" s="10"/>
      </tp>
      <tp>
        <v>0.96339109999999994</v>
        <stp/>
        <stp>##V3_BDPV12</stp>
        <stp>9502 JT Equity</stp>
        <stp>chg PCt 1yr</stp>
        <stp>[Macro RPRR.xlsx]monitor!R221C38</stp>
        <tr r="AL221" s="10"/>
      </tp>
      <tp>
        <v>11.26648</v>
        <stp/>
        <stp>##V3_BDPV12</stp>
        <stp>9602 JT Equity</stp>
        <stp>chg PCt 1yr</stp>
        <stp>[Macro RPRR.xlsx]monitor!R125C38</stp>
        <tr r="AL125" s="10"/>
      </tp>
      <tp>
        <v>3.3192249999999999</v>
        <stp/>
        <stp>##V3_BDPV12</stp>
        <stp>9531 JT Equity</stp>
        <stp>chg PCt 1yr</stp>
        <stp>[Macro RPRR.xlsx]monitor!R219C38</stp>
        <tr r="AL219" s="10"/>
      </tp>
      <tp>
        <v>8.8568940000000005</v>
        <stp/>
        <stp>##V3_BDPV12</stp>
        <stp>9202 JT Equity</stp>
        <stp>chg PCt 1yr</stp>
        <stp>[Macro RPRR.xlsx]monitor!R213C38</stp>
        <tr r="AL213" s="10"/>
      </tp>
      <tp>
        <v>-28.81653</v>
        <stp/>
        <stp>##V3_BDPV12</stp>
        <stp>9007 JT Equity</stp>
        <stp>chg PCt 1yr</stp>
        <stp>[Macro RPRR.xlsx]monitor!R151C38</stp>
        <tr r="AL151" s="10"/>
      </tp>
      <tp>
        <v>2.5641029999999998</v>
        <stp/>
        <stp>##V3_BDPV12</stp>
        <stp>9009 JT Equity</stp>
        <stp>chg PCt 1yr</stp>
        <stp>[Macro RPRR.xlsx]monitor!R171C38</stp>
        <tr r="AL171" s="10"/>
      </tp>
      <tp>
        <v>-28.025939999999999</v>
        <stp/>
        <stp>##V3_BDPV12</stp>
        <stp>9008 JT Equity</stp>
        <stp>chg PCt 1yr</stp>
        <stp>[Macro RPRR.xlsx]monitor!R173C38</stp>
        <tr r="AL173" s="10"/>
      </tp>
      <tp>
        <v>-11.911949999999999</v>
        <stp/>
        <stp>##V3_BDPV12</stp>
        <stp>9021 JT Equity</stp>
        <stp>chg PCt 1yr</stp>
        <stp>[Macro RPRR.xlsx]monitor!R225C38</stp>
        <tr r="AL225" s="10"/>
      </tp>
      <tp>
        <v>6.0675629999999998</v>
        <stp/>
        <stp>##V3_BDPV12</stp>
        <stp>9022 JT Equity</stp>
        <stp>chg PCt 1yr</stp>
        <stp>[Macro RPRR.xlsx]monitor!R214C38</stp>
        <tr r="AL214" s="10"/>
      </tp>
      <tp>
        <v>-4.1302839999999996</v>
        <stp/>
        <stp>##V3_BDPV12</stp>
        <stp>9020 JT Equity</stp>
        <stp>chg PCt 1yr</stp>
        <stp>[Macro RPRR.xlsx]monitor!R218C38</stp>
        <tr r="AL218" s="10"/>
      </tp>
      <tp>
        <v>7.37941</v>
        <stp/>
        <stp>##V3_BDPV12</stp>
        <stp>9001 JT Equity</stp>
        <stp>chg PCt 1yr</stp>
        <stp>[Macro RPRR.xlsx]monitor!R226C38</stp>
        <tr r="AL226" s="10"/>
      </tp>
      <tp>
        <v>19.46508</v>
        <stp/>
        <stp>##V3_BDPV12</stp>
        <stp>9005 JT Equity</stp>
        <stp>chg PCt 1yr</stp>
        <stp>[Macro RPRR.xlsx]monitor!R222C38</stp>
        <tr r="AL222" s="10"/>
      </tp>
      <tp t="s">
        <v>Financials</v>
        <stp/>
        <stp>##V3_BDPV12</stp>
        <stp>8355 JT Equity</stp>
        <stp>gics sector name</stp>
        <stp>[Macro RPRR.xlsx]monitor!R140C39</stp>
        <tr r="AM140" s="10"/>
      </tp>
      <tp t="s">
        <v>Financials</v>
        <stp/>
        <stp>##V3_BDPV12</stp>
        <stp>8354 JT Equity</stp>
        <stp>gics sector name</stp>
        <stp>[Macro RPRR.xlsx]monitor!R119C39</stp>
        <tr r="AM119" s="10"/>
      </tp>
      <tp>
        <v>0.6</v>
        <stp/>
        <stp>##V3_BDPV12</stp>
        <stp>EUGNEMUQ index</stp>
        <stp>CHG neT 1yr</stp>
        <stp>[Macro RPRR.xlsx]eco data!R32C16</stp>
        <tr r="P32" s="8"/>
        <tr r="P32" s="8"/>
      </tp>
      <tp t="s">
        <v>Consumer Staples</v>
        <stp/>
        <stp>##V3_BDPV12</stp>
        <stp>1332 JT Equity</stp>
        <stp>gics sector name</stp>
        <stp>[Macro RPRR.xlsx]monitor!R195C39</stp>
        <tr r="AM195" s="10"/>
      </tp>
      <tp t="s">
        <v>Financials</v>
        <stp/>
        <stp>##V3_BDPV12</stp>
        <stp>8331 JT Equity</stp>
        <stp>gics sector name</stp>
        <stp>[Macro RPRR.xlsx]monitor!R102C39</stp>
        <tr r="AM102" s="10"/>
      </tp>
      <tp t="s">
        <v>Industrials</v>
        <stp/>
        <stp>##V3_BDPV12</stp>
        <stp>5333 JT Equity</stp>
        <stp>gics sector name</stp>
        <stp>[Macro RPRR.xlsx]monitor!R114C39</stp>
        <tr r="AM114" s="10"/>
      </tp>
      <tp t="s">
        <v>Consumer Staples</v>
        <stp/>
        <stp>##V3_BDPV12</stp>
        <stp>1333 JT Equity</stp>
        <stp>gics sector name</stp>
        <stp>[Macro RPRR.xlsx]monitor!R175C39</stp>
        <tr r="AM175" s="10"/>
      </tp>
      <tp t="s">
        <v>Financials</v>
        <stp/>
        <stp>##V3_BDPV12</stp>
        <stp>8308 JT Equity</stp>
        <stp>gics sector name</stp>
        <stp>[Macro RPRR.xlsx]monitor!R122C39</stp>
        <tr r="AM122" s="10"/>
      </tp>
      <tp t="s">
        <v>Financials</v>
        <stp/>
        <stp>##V3_BDPV12</stp>
        <stp>8309 JT Equity</stp>
        <stp>gics sector name</stp>
        <stp>[Macro RPRR.xlsx]monitor!R163C39</stp>
        <tr r="AM163" s="10"/>
      </tp>
      <tp t="s">
        <v>Financials</v>
        <stp/>
        <stp>##V3_BDPV12</stp>
        <stp>8303 JT Equity</stp>
        <stp>gics sector name</stp>
        <stp>[Macro RPRR.xlsx]monitor!R139C39</stp>
        <tr r="AM139" s="10"/>
      </tp>
      <tp t="s">
        <v>Financials</v>
        <stp/>
        <stp>##V3_BDPV12</stp>
        <stp>8304 JT Equity</stp>
        <stp>gics sector name</stp>
        <stp>[Macro RPRR.xlsx]monitor!R166C39</stp>
        <tr r="AM166" s="10"/>
      </tp>
      <tp t="s">
        <v>Financials</v>
        <stp/>
        <stp>##V3_BDPV12</stp>
        <stp>8306 JT Equity</stp>
        <stp>gics sector name</stp>
        <stp>[Macro RPRR.xlsx]monitor!R108C39</stp>
        <tr r="AM108" s="10"/>
      </tp>
      <tp t="s">
        <v>Financials</v>
        <stp/>
        <stp>##V3_BDPV12</stp>
        <stp>8316 JT Equity</stp>
        <stp>gics sector name</stp>
        <stp>[Macro RPRR.xlsx]monitor!R100C39</stp>
        <tr r="AM100" s="10"/>
      </tp>
      <tp t="s">
        <v>Consumer Staples</v>
        <stp/>
        <stp>##V3_BDPV12</stp>
        <stp>3382 JT Equity</stp>
        <stp>gics sector name</stp>
        <stp>[Macro RPRR.xlsx]monitor!R146C39</stp>
        <tr r="AM146" s="10"/>
      </tp>
      <tp>
        <v>10.07949616459357</v>
        <stp/>
        <stp>##V3_BDPV12</stp>
        <stp>S5enrs INDEX</stp>
        <stp>best pe ratio</stp>
        <stp>[Macro RPRR.xlsx]monitor!R41C3</stp>
        <tr r="C41" s="10"/>
      </tp>
      <tp>
        <v>13.430390772584303</v>
        <stp/>
        <stp>##V3_BDPV12</stp>
        <stp>SXXE index</stp>
        <stp>best pe ratio</stp>
        <stp>[Macro RPRR.xlsx]monitor!R56C13</stp>
        <tr r="M56" s="10"/>
      </tp>
      <tp>
        <v>2.2000000000000002</v>
        <stp/>
        <stp>##V3_BDPV12</stp>
        <stp>grcp20yy index</stp>
        <stp>CHG neT 1m</stp>
        <stp>[Macro RPRR.xlsx]eco data!R4C24</stp>
        <tr r="X4" s="8"/>
        <tr r="X4" s="8"/>
      </tp>
      <tp>
        <v>1.1000000000000001</v>
        <stp/>
        <stp>##V3_BDPV12</stp>
        <stp>ptcphayy index</stp>
        <stp>CHG neT 1m</stp>
        <stp>[Macro RPRR.xlsx]eco data!R4C15</stp>
        <tr r="O4" s="8"/>
        <tr r="O4" s="8"/>
      </tp>
      <tp t="s">
        <v>#N/A N/A</v>
        <stp/>
        <stp>##V3_BDPV12</stp>
        <stp>grcp20yy index</stp>
        <stp>CHG neT 5d</stp>
        <stp>[Macro RPRR.xlsx]eco data!R4C23</stp>
        <tr r="W4" s="8"/>
      </tp>
      <tp t="s">
        <v>#N/A N/A</v>
        <stp/>
        <stp>##V3_BDPV12</stp>
        <stp>ptcphayy index</stp>
        <stp>CHG neT 5d</stp>
        <stp>[Macro RPRR.xlsx]eco data!R4C14</stp>
        <tr r="N4" s="8"/>
      </tp>
      <tp>
        <v>6.0259410223201062</v>
        <stp/>
        <stp>##V3_BDPV12</stp>
        <stp>SXPE index</stp>
        <stp>best pe ratio</stp>
        <stp>[Macro RPRR.xlsx]monitor!R41C13</stp>
        <tr r="M41" s="10"/>
      </tp>
      <tp>
        <v>-0.67</v>
        <stp/>
        <stp>##V3_BDPV12</stp>
        <stp>DAXEX GY EQUITY</stp>
        <stp>MF_tot_1W</stp>
        <stp>[Macro RPRR.xlsx]flows!R21C10</stp>
        <tr r="J21" s="12"/>
      </tp>
      <tp>
        <v>24.990629032673205</v>
        <stp/>
        <stp>##V3_BDPV12</stp>
        <stp>SXQE index</stp>
        <stp>best pe ratio</stp>
        <stp>[Macro RPRR.xlsx]monitor!R42C13</stp>
        <tr r="M42" s="10"/>
      </tp>
      <tp>
        <v>19.841412928509353</v>
        <stp/>
        <stp>##V3_BDPV12</stp>
        <stp>SXRE index</stp>
        <stp>best pe ratio</stp>
        <stp>[Macro RPRR.xlsx]monitor!R43C13</stp>
        <tr r="M43" s="10"/>
      </tp>
      <tp t="s">
        <v>#N/A N/A</v>
        <stp/>
        <stp>##V3_BDPV12</stp>
        <stp>MXRU index</stp>
        <stp>best pe ratio</stp>
        <stp>[Macro RPRR.xlsx]monitor!R25C13</stp>
        <tr r="M25" s="10"/>
      </tp>
      <tp>
        <v>24.430292828653005</v>
        <stp/>
        <stp>##V3_BDPV12</stp>
        <stp>SXTE index</stp>
        <stp>best pe ratio</stp>
        <stp>[Macro RPRR.xlsx]monitor!R44C13</stp>
        <tr r="M44" s="10"/>
      </tp>
      <tp>
        <v>10.117380751024681</v>
        <stp/>
        <stp>##V3_BDPV12</stp>
        <stp>SXIE index</stp>
        <stp>best pe ratio</stp>
        <stp>[Macro RPRR.xlsx]monitor!R50C13</stp>
        <tr r="M50" s="10"/>
      </tp>
      <tp>
        <v>16.254478380734952</v>
        <stp/>
        <stp>##V3_BDPV12</stp>
        <stp>SXKE index</stp>
        <stp>best pe ratio</stp>
        <stp>[Macro RPRR.xlsx]monitor!R40C13</stp>
        <tr r="M40" s="10"/>
      </tp>
      <tp>
        <v>19.847254273570826</v>
        <stp/>
        <stp>##V3_BDPV12</stp>
        <stp>SXME index</stp>
        <stp>best pe ratio</stp>
        <stp>[Macro RPRR.xlsx]monitor!R54C13</stp>
        <tr r="M54" s="10"/>
      </tp>
      <tp>
        <v>18.174093955629683</v>
        <stp/>
        <stp>##V3_BDPV12</stp>
        <stp>SXNE index</stp>
        <stp>best pe ratio</stp>
        <stp>[Macro RPRR.xlsx]monitor!R49C13</stp>
        <tr r="M49" s="10"/>
      </tp>
      <tp>
        <v>13.311562712689879</v>
        <stp/>
        <stp>##V3_BDPV12</stp>
        <stp>SXOE index</stp>
        <stp>best pe ratio</stp>
        <stp>[Macro RPRR.xlsx]monitor!R46C13</stp>
        <tr r="M46" s="10"/>
      </tp>
      <tp>
        <v>5.8722547913264176</v>
        <stp/>
        <stp>##V3_BDPV12</stp>
        <stp>SXAE index</stp>
        <stp>best pe ratio</stp>
        <stp>[Macro RPRR.xlsx]monitor!R38C13</stp>
        <tr r="M38" s="10"/>
      </tp>
      <tp>
        <v>16.806373357254735</v>
        <stp/>
        <stp>##V3_BDPV12</stp>
        <stp>SXDE index</stp>
        <stp>best pe ratio</stp>
        <stp>[Macro RPRR.xlsx]monitor!R51C13</stp>
        <tr r="M51" s="10"/>
      </tp>
      <tp>
        <v>6.0548400012466947</v>
        <stp/>
        <stp>##V3_BDPV12</stp>
        <stp>SXEE index</stp>
        <stp>best pe ratio</stp>
        <stp>[Macro RPRR.xlsx]monitor!R39C13</stp>
        <tr r="M39" s="10"/>
      </tp>
      <tp>
        <v>15.00760590269627</v>
        <stp/>
        <stp>##V3_BDPV12</stp>
        <stp>SXFE index</stp>
        <stp>best pe ratio</stp>
        <stp>[Macro RPRR.xlsx]monitor!R47C13</stp>
        <tr r="M47" s="10"/>
      </tp>
      <tp>
        <v>-4.2941339999999997</v>
        <stp/>
        <stp>##V3_BDPV12</stp>
        <stp>8830 JT Equity</stp>
        <stp>chg PCt 1yr</stp>
        <stp>[Macro RPRR.xlsx]monitor!R113C38</stp>
        <tr r="AL113" s="10"/>
      </tp>
      <tp>
        <v>15.32241</v>
        <stp/>
        <stp>##V3_BDPV12</stp>
        <stp>8801 JT Equity</stp>
        <stp>chg PCt 1yr</stp>
        <stp>[Macro RPRR.xlsx]monitor!R123C38</stp>
        <tr r="AL123" s="10"/>
      </tp>
      <tp>
        <v>1.6565430000000001</v>
        <stp/>
        <stp>##V3_BDPV12</stp>
        <stp>8802 JT Equity</stp>
        <stp>chg PCt 1yr</stp>
        <stp>[Macro RPRR.xlsx]monitor!R159C38</stp>
        <tr r="AL159" s="10"/>
      </tp>
      <tp>
        <v>5.4399999999999997E-2</v>
        <stp/>
        <stp>##V3_BDPV12</stp>
        <stp>CSSMI SW EQUITY</stp>
        <stp>MF_tot_1D</stp>
        <stp>[Macro RPRR.xlsx]flows!R24C9</stp>
        <tr r="I24" s="12"/>
      </tp>
      <tp>
        <v>5.3311260000000003</v>
        <stp/>
        <stp>##V3_BDPV12</stp>
        <stp>8411 JT Equity</stp>
        <stp>chg PCt 1yr</stp>
        <stp>[Macro RPRR.xlsx]monitor!R142C38</stp>
        <tr r="AL142" s="10"/>
      </tp>
      <tp>
        <v>21.684080000000002</v>
        <stp/>
        <stp>##V3_BDPV12</stp>
        <stp>8725 JT Equity</stp>
        <stp>chg PCt 1yr</stp>
        <stp>[Macro RPRR.xlsx]monitor!R191C38</stp>
        <tr r="AL191" s="10"/>
      </tp>
      <tp>
        <v>26.962520000000001</v>
        <stp/>
        <stp>##V3_BDPV12</stp>
        <stp>8766 JT Equity</stp>
        <stp>chg PCt 1yr</stp>
        <stp>[Macro RPRR.xlsx]monitor!R198C38</stp>
        <tr r="AL198" s="10"/>
      </tp>
      <tp>
        <v>38.670459999999999</v>
        <stp/>
        <stp>##V3_BDPV12</stp>
        <stp>8750 JT Equity</stp>
        <stp>chg PCt 1yr</stp>
        <stp>[Macro RPRR.xlsx]monitor!R105C38</stp>
        <tr r="AL105" s="10"/>
      </tp>
      <tp>
        <v>-20.536650000000002</v>
        <stp/>
        <stp>##V3_BDPV12</stp>
        <stp>8697 JT Equity</stp>
        <stp>chg PCt 1yr</stp>
        <stp>[Macro RPRR.xlsx]monitor!R118C38</stp>
        <tr r="AL118" s="10"/>
      </tp>
      <tp>
        <v>17.410710000000002</v>
        <stp/>
        <stp>##V3_BDPV12</stp>
        <stp>8601 JT Equity</stp>
        <stp>chg PCt 1yr</stp>
        <stp>[Macro RPRR.xlsx]monitor!R130C38</stp>
        <tr r="AL130" s="10"/>
      </tp>
      <tp>
        <v>28.968250000000001</v>
        <stp/>
        <stp>##V3_BDPV12</stp>
        <stp>8630 JT Equity</stp>
        <stp>chg PCt 1yr</stp>
        <stp>[Macro RPRR.xlsx]monitor!R160C38</stp>
        <tr r="AL160" s="10"/>
      </tp>
      <tp>
        <v>-9.8231439999999992</v>
        <stp/>
        <stp>##V3_BDPV12</stp>
        <stp>8604 JT Equity</stp>
        <stp>chg PCt 1yr</stp>
        <stp>[Macro RPRR.xlsx]monitor!R150C38</stp>
        <tr r="AL150" s="10"/>
      </tp>
      <tp>
        <v>-7.03125</v>
        <stp/>
        <stp>##V3_BDPV12</stp>
        <stp>8628 JT Equity</stp>
        <stp>chg PCt 1yr</stp>
        <stp>[Macro RPRR.xlsx]monitor!R174C38</stp>
        <tr r="AL174" s="10"/>
      </tp>
      <tp>
        <v>28.45327</v>
        <stp/>
        <stp>##V3_BDPV12</stp>
        <stp>8253 JT Equity</stp>
        <stp>chg PCt 1yr</stp>
        <stp>[Macro RPRR.xlsx]monitor!R200C38</stp>
        <tr r="AL200" s="10"/>
      </tp>
      <tp>
        <v>38.933329999999998</v>
        <stp/>
        <stp>##V3_BDPV12</stp>
        <stp>8053 JT Equity</stp>
        <stp>chg PCt 1yr</stp>
        <stp>[Macro RPRR.xlsx]monitor!R154C38</stp>
        <tr r="AL154" s="10"/>
      </tp>
      <tp>
        <v>42.857140000000001</v>
        <stp/>
        <stp>##V3_BDPV12</stp>
        <stp>8031 JT Equity</stp>
        <stp>chg PCt 1yr</stp>
        <stp>[Macro RPRR.xlsx]monitor!R104C38</stp>
        <tr r="AL104" s="10"/>
      </tp>
      <tp>
        <v>46.89678</v>
        <stp/>
        <stp>##V3_BDPV12</stp>
        <stp>8058 JT Equity</stp>
        <stp>chg PCt 1yr</stp>
        <stp>[Macro RPRR.xlsx]monitor!R128C38</stp>
        <tr r="AL128" s="10"/>
      </tp>
      <tp>
        <v>3.4647549999999998</v>
        <stp/>
        <stp>##V3_BDPV12</stp>
        <stp>8355 JT Equity</stp>
        <stp>chg PCt 1yr</stp>
        <stp>[Macro RPRR.xlsx]monitor!R140C38</stp>
        <tr r="AL140" s="10"/>
      </tp>
      <tp>
        <v>5.5053190000000001</v>
        <stp/>
        <stp>##V3_BDPV12</stp>
        <stp>8316 JT Equity</stp>
        <stp>chg PCt 1yr</stp>
        <stp>[Macro RPRR.xlsx]monitor!R100C38</stp>
        <tr r="AL100" s="10"/>
      </tp>
      <tp>
        <v>34.098869999999998</v>
        <stp/>
        <stp>##V3_BDPV12</stp>
        <stp>8306 JT Equity</stp>
        <stp>chg PCt 1yr</stp>
        <stp>[Macro RPRR.xlsx]monitor!R108C38</stp>
        <tr r="AL108" s="10"/>
      </tp>
      <tp>
        <v>14.07625</v>
        <stp/>
        <stp>##V3_BDPV12</stp>
        <stp>8331 JT Equity</stp>
        <stp>chg PCt 1yr</stp>
        <stp>[Macro RPRR.xlsx]monitor!R102C38</stp>
        <tr r="AL102" s="10"/>
      </tp>
      <tp>
        <v>50.15934</v>
        <stp/>
        <stp>##V3_BDPV12</stp>
        <stp>8303 JT Equity</stp>
        <stp>chg PCt 1yr</stp>
        <stp>[Macro RPRR.xlsx]monitor!R139C38</stp>
        <tr r="AL139" s="10"/>
      </tp>
      <tp>
        <v>29.527909999999999</v>
        <stp/>
        <stp>##V3_BDPV12</stp>
        <stp>8308 JT Equity</stp>
        <stp>chg PCt 1yr</stp>
        <stp>[Macro RPRR.xlsx]monitor!R122C38</stp>
        <tr r="AL122" s="10"/>
      </tp>
      <tp>
        <v>31.723030000000001</v>
        <stp/>
        <stp>##V3_BDPV12</stp>
        <stp>8354 JT Equity</stp>
        <stp>chg PCt 1yr</stp>
        <stp>[Macro RPRR.xlsx]monitor!R119C38</stp>
        <tr r="AL119" s="10"/>
      </tp>
      <tp>
        <v>11.57985</v>
        <stp/>
        <stp>##V3_BDPV12</stp>
        <stp>8304 JT Equity</stp>
        <stp>chg PCt 1yr</stp>
        <stp>[Macro RPRR.xlsx]monitor!R166C38</stp>
        <tr r="AL166" s="10"/>
      </tp>
      <tp>
        <v>9.8480740000000004</v>
        <stp/>
        <stp>##V3_BDPV12</stp>
        <stp>8309 JT Equity</stp>
        <stp>chg PCt 1yr</stp>
        <stp>[Macro RPRR.xlsx]monitor!R163C38</stp>
        <tr r="AL163" s="10"/>
      </tp>
      <tp>
        <v>14.235060000000001</v>
        <stp/>
        <stp>##V3_BDPV12</stp>
        <stp>8252 JT Equity</stp>
        <stp>chg PCt 1yr</stp>
        <stp>[Macro RPRR.xlsx]monitor!R179C38</stp>
        <tr r="AL179" s="10"/>
      </tp>
      <tp>
        <v>-19.4664</v>
        <stp/>
        <stp>##V3_BDPV12</stp>
        <stp>8267 JT Equity</stp>
        <stp>chg PCt 1yr</stp>
        <stp>[Macro RPRR.xlsx]monitor!R115C38</stp>
        <tr r="AL115" s="10"/>
      </tp>
      <tp t="s">
        <v>Financials</v>
        <stp/>
        <stp>##V3_BDPV12</stp>
        <stp>8253 JT Equity</stp>
        <stp>gics sector name</stp>
        <stp>[Macro RPRR.xlsx]monitor!R200C39</stp>
        <tr r="AM200" s="10"/>
      </tp>
      <tp t="s">
        <v>Consumer Discretionary</v>
        <stp/>
        <stp>##V3_BDPV12</stp>
        <stp>7267 JT Equity</stp>
        <stp>gics sector name</stp>
        <stp>[Macro RPRR.xlsx]monitor!R135C39</stp>
        <tr r="AM135" s="10"/>
      </tp>
      <tp t="s">
        <v>Consumer Staples</v>
        <stp/>
        <stp>##V3_BDPV12</stp>
        <stp>8267 JT Equity</stp>
        <stp>gics sector name</stp>
        <stp>[Macro RPRR.xlsx]monitor!R115C39</stp>
        <tr r="AM115" s="10"/>
      </tp>
      <tp t="s">
        <v>Consumer Discretionary</v>
        <stp/>
        <stp>##V3_BDPV12</stp>
        <stp>7270 JT Equity</stp>
        <stp>gics sector name</stp>
        <stp>[Macro RPRR.xlsx]monitor!R207C39</stp>
        <tr r="AM207" s="10"/>
      </tp>
      <tp t="s">
        <v>Consumer Staples</v>
        <stp/>
        <stp>##V3_BDPV12</stp>
        <stp>2269 JT Equity</stp>
        <stp>gics sector name</stp>
        <stp>[Macro RPRR.xlsx]monitor!R220C39</stp>
        <tr r="AM220" s="10"/>
      </tp>
      <tp t="s">
        <v>Financials</v>
        <stp/>
        <stp>##V3_BDPV12</stp>
        <stp>8252 JT Equity</stp>
        <stp>gics sector name</stp>
        <stp>[Macro RPRR.xlsx]monitor!R179C39</stp>
        <tr r="AM179" s="10"/>
      </tp>
      <tp t="s">
        <v>Consumer Discretionary</v>
        <stp/>
        <stp>##V3_BDPV12</stp>
        <stp>7211 JT Equity</stp>
        <stp>gics sector name</stp>
        <stp>[Macro RPRR.xlsx]monitor!R212C39</stp>
        <tr r="AM212" s="10"/>
      </tp>
      <tp t="s">
        <v>Materials</v>
        <stp/>
        <stp>##V3_BDPV12</stp>
        <stp>5232 JT Equity</stp>
        <stp>gics sector name</stp>
        <stp>[Macro RPRR.xlsx]monitor!R194C39</stp>
        <tr r="AM194" s="10"/>
      </tp>
      <tp t="s">
        <v>Industrials</v>
        <stp/>
        <stp>##V3_BDPV12</stp>
        <stp>9202 JT Equity</stp>
        <stp>gics sector name</stp>
        <stp>[Macro RPRR.xlsx]monitor!R213C39</stp>
        <tr r="AM213" s="10"/>
      </tp>
      <tp t="s">
        <v>Materials</v>
        <stp/>
        <stp>##V3_BDPV12</stp>
        <stp>4208 JT Equity</stp>
        <stp>gics sector name</stp>
        <stp>[Macro RPRR.xlsx]monitor!R110C39</stp>
        <tr r="AM110" s="10"/>
      </tp>
      <tp t="s">
        <v>Consumer Discretionary</v>
        <stp/>
        <stp>##V3_BDPV12</stp>
        <stp>7203 JT Equity</stp>
        <stp>gics sector name</stp>
        <stp>[Macro RPRR.xlsx]monitor!R155C39</stp>
        <tr r="AM155" s="10"/>
      </tp>
      <tp t="s">
        <v>Real Estate</v>
        <stp/>
        <stp>##V3_BDPV12</stp>
        <stp>3289 JT Equity</stp>
        <stp>gics sector name</stp>
        <stp>[Macro RPRR.xlsx]monitor!R136C39</stp>
        <tr r="AM136" s="10"/>
      </tp>
      <tp t="s">
        <v>Consumer Staples</v>
        <stp/>
        <stp>##V3_BDPV12</stp>
        <stp>2282 JT Equity</stp>
        <stp>gics sector name</stp>
        <stp>[Macro RPRR.xlsx]monitor!R157C39</stp>
        <tr r="AM157" s="10"/>
      </tp>
      <tp>
        <v>0.25</v>
        <stp/>
        <stp>##V3_BDPV12</stp>
        <stp>gtjpy10y govt</stp>
        <stp>bid yield</stp>
        <stp>[Macro RPRR.xlsx]eco data!R39C4</stp>
        <tr r="D39" s="8"/>
      </tp>
      <tp>
        <v>6.9</v>
        <stp/>
        <stp>##V3_BDPV12</stp>
        <stp>NZcpiyoy INDEX</stp>
        <stp>PX LAST</stp>
        <stp>[Macro RPRR.xlsx]EU countries!R30C15</stp>
        <tr r="O30" s="11"/>
      </tp>
      <tp>
        <v>15.747257267045972</v>
        <stp/>
        <stp>##V3_BDPV12</stp>
        <stp>S5matr INDEX</stp>
        <stp>best pe ratio</stp>
        <stp>[Macro RPRR.xlsx]monitor!R38C3</stp>
        <tr r="C38" s="10"/>
      </tp>
      <tp>
        <v>228.53899999999999</v>
        <stp/>
        <stp>##V3_BDPV12</stp>
        <stp>wgdpport index</stp>
        <stp>px last</stp>
        <stp>[Macro RPRR.xlsx]EU countries!R13C10</stp>
        <tr r="J13" s="11"/>
      </tp>
      <tp>
        <v>13.54959</v>
        <stp/>
        <stp>##V3_BDPV12</stp>
        <stp>S5cons INDEX</stp>
        <stp>chg PCt 6m</stp>
        <stp>[Macro RPRR.xlsx]monitor!R45C7</stp>
        <tr r="G45" s="10"/>
      </tp>
      <tp>
        <v>7.9684549999999996</v>
        <stp/>
        <stp>##V3_BDPV12</stp>
        <stp>S5cons INDEX</stp>
        <stp>chg PCt 1m</stp>
        <stp>[Macro RPRR.xlsx]monitor!R45C6</stp>
        <tr r="F45" s="10"/>
      </tp>
      <tp>
        <v>-3.5999999999999997E-2</v>
        <stp/>
        <stp>##V3_BDPV12</stp>
        <stp>GJGB3 index</stp>
        <stp>LAST TRADE</stp>
        <stp>[Macro RPRR.xlsx]carry+rd!R5C11</stp>
        <tr r="K5" s="1"/>
      </tp>
      <tp>
        <v>-5.1999999999999998E-2</v>
        <stp/>
        <stp>##V3_BDPV12</stp>
        <stp>GJGB2 index</stp>
        <stp>LAST TRADE</stp>
        <stp>[Macro RPRR.xlsx]carry+rd!R4C11</stp>
        <tr r="K4" s="1"/>
      </tp>
      <tp>
        <v>-7.9000000000000001E-2</v>
        <stp/>
        <stp>##V3_BDPV12</stp>
        <stp>GJGB1 index</stp>
        <stp>LAST TRADE</stp>
        <stp>[Macro RPRR.xlsx]carry+rd!R3C11</stp>
        <tr r="K3" s="1"/>
      </tp>
      <tp>
        <v>0.17799999999999999</v>
        <stp/>
        <stp>##V3_BDPV12</stp>
        <stp>GJGB7 index</stp>
        <stp>LAST TRADE</stp>
        <stp>[Macro RPRR.xlsx]carry+rd!R8C11</stp>
        <tr r="K8" s="1"/>
      </tp>
      <tp>
        <v>2.1999999999999999E-2</v>
        <stp/>
        <stp>##V3_BDPV12</stp>
        <stp>GJGB5 index</stp>
        <stp>LAST TRADE</stp>
        <stp>[Macro RPRR.xlsx]carry+rd!R7C11</stp>
        <tr r="K7" s="1"/>
      </tp>
      <tp>
        <v>-1.6E-2</v>
        <stp/>
        <stp>##V3_BDPV12</stp>
        <stp>GJGB4 index</stp>
        <stp>LAST TRADE</stp>
        <stp>[Macro RPRR.xlsx]carry+rd!R6C11</stp>
        <tr r="K6" s="1"/>
      </tp>
      <tp>
        <v>-23.02</v>
        <stp/>
        <stp>##V3_BDPV12</stp>
        <stp>EWI US EQUITY</stp>
        <stp>MF_tot_1M</stp>
        <stp>[Macro RPRR.xlsx]flows!R25C11</stp>
        <tr r="K25" s="12"/>
      </tp>
      <tp>
        <v>-5.4539999999999998E-2</v>
        <stp/>
        <stp>##V3_BDPV12</stp>
        <stp>JY0001m index</stp>
        <stp>PX LAST</stp>
        <stp>[Macro RPRR.xlsx]carry+rd!R2C11</stp>
        <tr r="K2" s="1"/>
      </tp>
      <tp>
        <v>5.3275810000000003</v>
        <stp/>
        <stp>##V3_BDPV12</stp>
        <stp>S5hlth INDEX</stp>
        <stp>chg PCt 6m</stp>
        <stp>[Macro RPRR.xlsx]monitor!R46C7</stp>
        <tr r="G46" s="10"/>
      </tp>
      <tp>
        <v>1.527604</v>
        <stp/>
        <stp>##V3_BDPV12</stp>
        <stp>S5hlth INDEX</stp>
        <stp>chg PCt 1m</stp>
        <stp>[Macro RPRR.xlsx]monitor!R46C6</stp>
        <tr r="F46" s="10"/>
      </tp>
      <tp>
        <v>99.14</v>
        <stp/>
        <stp>##V3_BDPV12</stp>
        <stp>TWI JPSP curncy</stp>
        <stp>px last</stp>
        <stp>[Macro RPRR.xlsx]eco data!R40C4</stp>
        <tr r="D40" s="8"/>
      </tp>
      <tp t="s">
        <v>Financials</v>
        <stp/>
        <stp>##V3_BDPV12</stp>
        <stp>6178 JT Equity</stp>
        <stp>gics sector name</stp>
        <stp>[Macro RPRR.xlsx]monitor!R168C39</stp>
        <tr r="AM168" s="10"/>
      </tp>
      <tp>
        <v>-2.0503</v>
        <stp/>
        <stp>##V3_BDPV12</stp>
        <stp>DAXEX GY EQUITY</stp>
        <stp>MF_tot_1D</stp>
        <stp>[Macro RPRR.xlsx]flows!R21C9</stp>
        <tr r="I21" s="12"/>
      </tp>
      <tp t="s">
        <v>Health Care</v>
        <stp/>
        <stp>##V3_BDPV12</stp>
        <stp>4151 JT Equity</stp>
        <stp>gics sector name</stp>
        <stp>[Macro RPRR.xlsx]monitor!R133C39</stp>
        <tr r="AM133" s="10"/>
      </tp>
      <tp t="s">
        <v>Industrials</v>
        <stp/>
        <stp>##V3_BDPV12</stp>
        <stp>3105 JT Equity</stp>
        <stp>gics sector name</stp>
        <stp>[Macro RPRR.xlsx]monitor!R172C39</stp>
        <tr r="AM172" s="10"/>
      </tp>
      <tp t="s">
        <v>Consumer Discretionary</v>
        <stp/>
        <stp>##V3_BDPV12</stp>
        <stp>5101 JT Equity</stp>
        <stp>gics sector name</stp>
        <stp>[Macro RPRR.xlsx]monitor!R124C39</stp>
        <tr r="AM124" s="10"/>
      </tp>
      <tp t="s">
        <v>Materials</v>
        <stp/>
        <stp>##V3_BDPV12</stp>
        <stp>3101 JT Equity</stp>
        <stp>gics sector name</stp>
        <stp>[Macro RPRR.xlsx]monitor!R141C39</stp>
        <tr r="AM141" s="10"/>
      </tp>
      <tp t="s">
        <v>Industrials</v>
        <stp/>
        <stp>##V3_BDPV12</stp>
        <stp>6113 JT Equity</stp>
        <stp>gics sector name</stp>
        <stp>[Macro RPRR.xlsx]monitor!R109C39</stp>
        <tr r="AM109" s="10"/>
      </tp>
      <tp>
        <v>-1.754E-2</v>
        <stp/>
        <stp>##V3_BDPV12</stp>
        <stp>jy0003m INDEX</stp>
        <stp>px last</stp>
        <stp>[Macro RPRR.xlsx]eco data!R37C4</stp>
        <tr r="D37" s="8"/>
      </tp>
      <tp t="s">
        <v>Materials</v>
        <stp/>
        <stp>##V3_BDPV12</stp>
        <stp>4188 JT Equity</stp>
        <stp>gics sector name</stp>
        <stp>[Macro RPRR.xlsx]monitor!R144C39</stp>
        <tr r="AM144" s="10"/>
      </tp>
      <tp t="s">
        <v>Financials</v>
        <stp/>
        <stp>##V3_BDPV12</stp>
        <stp>7186 JT Equity</stp>
        <stp>gics sector name</stp>
        <stp>[Macro RPRR.xlsx]monitor!R126C39</stp>
        <tr r="AM126" s="10"/>
      </tp>
      <tp t="s">
        <v>Commercial Services</v>
        <stp/>
        <stp>##V3_BDPV12</stp>
        <stp>6098 JT Equity</stp>
        <stp>industry group</stp>
        <stp>[Macro RPRR.xlsx]monitor!R40C40</stp>
        <tr r="AN40" s="10"/>
      </tp>
      <tp>
        <v>752.24800000000005</v>
        <stp/>
        <stp>##V3_BDPV12</stp>
        <stp>wgdpswit index</stp>
        <stp>px last</stp>
        <stp>[Macro RPRR.xlsx]EU countries!R18C10</stp>
        <tr r="J18" s="11"/>
      </tp>
      <tp>
        <v>0.54390050000000001</v>
        <stp/>
        <stp>##V3_BDPV12</stp>
        <stp>SMI index</stp>
        <stp>chg PCt 1m</stp>
        <stp>[Macro RPRR.xlsx]monitor!R11C14</stp>
        <tr r="N11" s="10"/>
      </tp>
      <tp t="s">
        <v>Insurance</v>
        <stp/>
        <stp>##V3_BDPV12</stp>
        <stp>8795 JT Equity</stp>
        <stp>industry group</stp>
        <stp>[Macro RPRR.xlsx]monitor!R80C40</stp>
        <tr r="AN80" s="10"/>
      </tp>
      <tp>
        <v>5.5</v>
        <stp/>
        <stp>##V3_BDPV12</stp>
        <stp>gdp cyoy index</stp>
        <stp>px last</stp>
        <stp>[Macro RPRR.xlsx]EU countries!R20C14</stp>
        <tr r="N20" s="11"/>
      </tp>
      <tp>
        <v>1.764902</v>
        <stp/>
        <stp>##V3_BDPV12</stp>
        <stp>SMI index</stp>
        <stp>chg PCt 6m</stp>
        <stp>[Macro RPRR.xlsx]monitor!R11C15</stp>
        <tr r="O11" s="10"/>
      </tp>
      <tp>
        <v>23.377001438612496</v>
        <stp/>
        <stp>##V3_BDPV12</stp>
        <stp>S5cons INDEX</stp>
        <stp>best pe ratio</stp>
        <stp>[Macro RPRR.xlsx]monitor!R45C3</stp>
        <tr r="C45" s="10"/>
      </tp>
      <tp>
        <v>-3.549013</v>
        <stp/>
        <stp>##V3_BDPV12</stp>
        <stp>OMX index</stp>
        <stp>chg PCt 1m</stp>
        <stp>[Macro RPRR.xlsx]monitor!R13C14</stp>
        <tr r="N13" s="10"/>
      </tp>
      <tp>
        <v>-10.3681</v>
        <stp/>
        <stp>##V3_BDPV12</stp>
        <stp>OMX index</stp>
        <stp>chg PCt 6m</stp>
        <stp>[Macro RPRR.xlsx]monitor!R13C15</stp>
        <tr r="O13" s="10"/>
      </tp>
      <tp>
        <v>1.26</v>
        <stp/>
        <stp>##V3_BDPV12</stp>
        <stp>IGLT LN EQUITY</stp>
        <stp>MF_tot_1M</stp>
        <stp>[Macro RPRR.xlsx]flows!R31C11</stp>
        <tr r="K31" s="12"/>
      </tp>
      <tp>
        <v>4.9823089999999999</v>
        <stp/>
        <stp>##V3_BDPV12</stp>
        <stp>S5matr INDEX</stp>
        <stp>chg PCt 6m</stp>
        <stp>[Macro RPRR.xlsx]monitor!R38C7</stp>
        <tr r="G38" s="10"/>
      </tp>
      <tp>
        <v>2.331388</v>
        <stp/>
        <stp>##V3_BDPV12</stp>
        <stp>S5matr INDEX</stp>
        <stp>chg PCt 1m</stp>
        <stp>[Macro RPRR.xlsx]monitor!R38C6</stp>
        <tr r="F38" s="10"/>
      </tp>
      <tp>
        <v>-0.01</v>
        <stp/>
        <stp>##V3_BDPV12</stp>
        <stp>IGLT LN EQUITY</stp>
        <stp>MF_tot_1D</stp>
        <stp>[Macro RPRR.xlsx]flows!R31C9</stp>
        <tr r="I31" s="12"/>
      </tp>
      <tp t="s">
        <v>Materials</v>
        <stp/>
        <stp>##V3_BDPV12</stp>
        <stp>4043 JT Equity</stp>
        <stp>gics sector name</stp>
        <stp>[Macro RPRR.xlsx]monitor!R129C39</stp>
        <tr r="AM129" s="10"/>
      </tp>
      <tp t="s">
        <v>Industrials</v>
        <stp/>
        <stp>##V3_BDPV12</stp>
        <stp>8058 JT Equity</stp>
        <stp>gics sector name</stp>
        <stp>[Macro RPRR.xlsx]monitor!R128C39</stp>
        <tr r="AM128" s="10"/>
      </tp>
      <tp t="s">
        <v>Industrials</v>
        <stp/>
        <stp>##V3_BDPV12</stp>
        <stp>8053 JT Equity</stp>
        <stp>gics sector name</stp>
        <stp>[Macro RPRR.xlsx]monitor!R154C39</stp>
        <tr r="AM154" s="10"/>
      </tp>
      <tp t="s">
        <v>Materials</v>
        <stp/>
        <stp>##V3_BDPV12</stp>
        <stp>4021 JT Equity</stp>
        <stp>gics sector name</stp>
        <stp>[Macro RPRR.xlsx]monitor!R101C39</stp>
        <tr r="AM101" s="10"/>
      </tp>
      <tp t="s">
        <v>Energy</v>
        <stp/>
        <stp>##V3_BDPV12</stp>
        <stp>5020 JT Equity</stp>
        <stp>gics sector name</stp>
        <stp>[Macro RPRR.xlsx]monitor!R120C39</stp>
        <tr r="AM120" s="10"/>
      </tp>
      <tp t="s">
        <v>Industrials</v>
        <stp/>
        <stp>##V3_BDPV12</stp>
        <stp>8031 JT Equity</stp>
        <stp>gics sector name</stp>
        <stp>[Macro RPRR.xlsx]monitor!R104C39</stp>
        <tr r="AM104" s="10"/>
      </tp>
      <tp t="s">
        <v>Consumer Staples</v>
        <stp/>
        <stp>##V3_BDPV12</stp>
        <stp>2002 JT Equity</stp>
        <stp>gics sector name</stp>
        <stp>[Macro RPRR.xlsx]monitor!R209C39</stp>
        <tr r="AM209" s="10"/>
      </tp>
      <tp t="s">
        <v>Industrials</v>
        <stp/>
        <stp>##V3_BDPV12</stp>
        <stp>9001 JT Equity</stp>
        <stp>gics sector name</stp>
        <stp>[Macro RPRR.xlsx]monitor!R226C39</stp>
        <tr r="AM226" s="10"/>
      </tp>
      <tp t="s">
        <v>Industrials</v>
        <stp/>
        <stp>##V3_BDPV12</stp>
        <stp>9005 JT Equity</stp>
        <stp>gics sector name</stp>
        <stp>[Macro RPRR.xlsx]monitor!R222C39</stp>
        <tr r="AM222" s="10"/>
      </tp>
      <tp t="s">
        <v>Industrials</v>
        <stp/>
        <stp>##V3_BDPV12</stp>
        <stp>7003 JT Equity</stp>
        <stp>gics sector name</stp>
        <stp>[Macro RPRR.xlsx]monitor!R196C39</stp>
        <tr r="AM196" s="10"/>
      </tp>
      <tp t="s">
        <v>Industrials</v>
        <stp/>
        <stp>##V3_BDPV12</stp>
        <stp>9009 JT Equity</stp>
        <stp>gics sector name</stp>
        <stp>[Macro RPRR.xlsx]monitor!R171C39</stp>
        <tr r="AM171" s="10"/>
      </tp>
      <tp t="s">
        <v>Industrials</v>
        <stp/>
        <stp>##V3_BDPV12</stp>
        <stp>9008 JT Equity</stp>
        <stp>gics sector name</stp>
        <stp>[Macro RPRR.xlsx]monitor!R173C39</stp>
        <tr r="AM173" s="10"/>
      </tp>
      <tp t="s">
        <v>Industrials</v>
        <stp/>
        <stp>##V3_BDPV12</stp>
        <stp>9007 JT Equity</stp>
        <stp>gics sector name</stp>
        <stp>[Macro RPRR.xlsx]monitor!R151C39</stp>
        <tr r="AM151" s="10"/>
      </tp>
      <tp t="s">
        <v>Energy</v>
        <stp/>
        <stp>##V3_BDPV12</stp>
        <stp>5019 JT Equity</stp>
        <stp>gics sector name</stp>
        <stp>[Macro RPRR.xlsx]monitor!R167C39</stp>
        <tr r="AM167" s="10"/>
      </tp>
      <tp t="s">
        <v>Industrials</v>
        <stp/>
        <stp>##V3_BDPV12</stp>
        <stp>9020 JT Equity</stp>
        <stp>gics sector name</stp>
        <stp>[Macro RPRR.xlsx]monitor!R218C39</stp>
        <tr r="AM218" s="10"/>
      </tp>
      <tp t="s">
        <v>Industrials</v>
        <stp/>
        <stp>##V3_BDPV12</stp>
        <stp>9022 JT Equity</stp>
        <stp>gics sector name</stp>
        <stp>[Macro RPRR.xlsx]monitor!R214C39</stp>
        <tr r="AM214" s="10"/>
      </tp>
      <tp t="s">
        <v>Industrials</v>
        <stp/>
        <stp>##V3_BDPV12</stp>
        <stp>9021 JT Equity</stp>
        <stp>gics sector name</stp>
        <stp>[Macro RPRR.xlsx]monitor!R225C39</stp>
        <tr r="AM225" s="10"/>
      </tp>
      <tp t="s">
        <v>Industrials</v>
        <stp/>
        <stp>##V3_BDPV12</stp>
        <stp>7011 JT Equity</stp>
        <stp>gics sector name</stp>
        <stp>[Macro RPRR.xlsx]monitor!R152C39</stp>
        <tr r="AM152" s="10"/>
      </tp>
      <tp t="s">
        <v>Consumer Discretionary</v>
        <stp/>
        <stp>##V3_BDPV12</stp>
        <stp>3086 JT Equity</stp>
        <stp>gics sector name</stp>
        <stp>[Macro RPRR.xlsx]monitor!R164C39</stp>
        <tr r="AM164" s="10"/>
      </tp>
      <tp t="s">
        <v>Consumer Discretionary</v>
        <stp/>
        <stp>##V3_BDPV12</stp>
        <stp>3099 JT Equity</stp>
        <stp>gics sector name</stp>
        <stp>[Macro RPRR.xlsx]monitor!R153C39</stp>
        <tr r="AM153" s="10"/>
      </tp>
      <tp t="s">
        <v>Internet</v>
        <stp/>
        <stp>##V3_BDPV12</stp>
        <stp>4689 JT Equity</stp>
        <stp>industry group</stp>
        <stp>[Macro RPRR.xlsx]monitor!R78C40</stp>
        <tr r="AN78" s="10"/>
      </tp>
      <tp t="s">
        <v>Chemicals</v>
        <stp/>
        <stp>##V3_BDPV12</stp>
        <stp>6988 JT Equity</stp>
        <stp>industry group</stp>
        <stp>[Macro RPRR.xlsx]monitor!R20C40</stp>
        <tr r="AN20" s="10"/>
      </tp>
      <tp>
        <v>1.984413</v>
        <stp/>
        <stp>##V3_BDPV12</stp>
        <stp>gtgbp10y govt</stp>
        <stp>bid yield</stp>
        <stp>[Macro RPRR.xlsx]eco data!R52C4</stp>
        <tr r="D52" s="8"/>
      </tp>
      <tp t="s">
        <v>Chemicals</v>
        <stp/>
        <stp>##V3_BDPV12</stp>
        <stp>4183 JT Equity</stp>
        <stp>industry group</stp>
        <stp>[Macro RPRR.xlsx]monitor!R68C40</stp>
        <tr r="AN68" s="10"/>
      </tp>
      <tp t="s">
        <v>Retail</v>
        <stp/>
        <stp>##V3_BDPV12</stp>
        <stp>9983 JT Equity</stp>
        <stp>industry group</stp>
        <stp>[Macro RPRR.xlsx]monitor!R15C40</stp>
        <tr r="AN15" s="10"/>
      </tp>
      <tp>
        <v>2.3570000000000002</v>
        <stp/>
        <stp>##V3_BDPV12</stp>
        <stp>GSPG30YR index</stp>
        <stp>LAST TRADE</stp>
        <stp>[Macro RPRR.xlsx]carry+rd!R10C23</stp>
        <tr r="W10" s="1"/>
      </tp>
      <tp>
        <v>150.80000000000001</v>
        <stp/>
        <stp>##V3_BDPV12</stp>
        <stp>EUdb60it index</stp>
        <stp>px last</stp>
        <stp>[Macro RPRR.xlsx]eco data!R5C30</stp>
        <tr r="AD5" s="8"/>
      </tp>
      <tp>
        <v>2.6241310000000002</v>
        <stp/>
        <stp>##V3_BDPV12</stp>
        <stp>gTITL10yr govt</stp>
        <stp>bid yield</stp>
        <stp>[Macro RPRR.xlsx]eco data!R39C13</stp>
        <tr r="M39" s="8"/>
      </tp>
      <tp>
        <v>14.963044238092239</v>
        <stp/>
        <stp>##V3_BDPV12</stp>
        <stp>NKY index</stp>
        <stp>best pe ratio</stp>
        <stp>[Macro RPRR.xlsx]monitor!R14C13</stp>
        <tr r="M14" s="10"/>
      </tp>
      <tp t="s">
        <v>Industrials</v>
        <stp/>
        <stp>##V3_BDPV12</stp>
        <stp>2768 JT Equity</stp>
        <stp>gics sector name</stp>
        <stp>[Macro RPRR.xlsx]monitor!R162C39</stp>
        <tr r="AM162" s="10"/>
      </tp>
      <tp t="s">
        <v>Financials</v>
        <stp/>
        <stp>##V3_BDPV12</stp>
        <stp>8766 JT Equity</stp>
        <stp>gics sector name</stp>
        <stp>[Macro RPRR.xlsx]monitor!R198C39</stp>
        <tr r="AM198" s="10"/>
      </tp>
      <tp t="s">
        <v>Information Technology</v>
        <stp/>
        <stp>##V3_BDPV12</stp>
        <stp>7751 JT Equity</stp>
        <stp>gics sector name</stp>
        <stp>[Macro RPRR.xlsx]monitor!R202C39</stp>
        <tr r="AM202" s="10"/>
      </tp>
      <tp t="s">
        <v>Information Technology</v>
        <stp/>
        <stp>##V3_BDPV12</stp>
        <stp>6770 JT Equity</stp>
        <stp>gics sector name</stp>
        <stp>[Macro RPRR.xlsx]monitor!R111C39</stp>
        <tr r="AM111" s="10"/>
      </tp>
      <tp t="s">
        <v>Financials</v>
        <stp/>
        <stp>##V3_BDPV12</stp>
        <stp>8750 JT Equity</stp>
        <stp>gics sector name</stp>
        <stp>[Macro RPRR.xlsx]monitor!R105C39</stp>
        <tr r="AM105" s="10"/>
      </tp>
      <tp t="s">
        <v>Information Technology</v>
        <stp/>
        <stp>##V3_BDPV12</stp>
        <stp>7762 JT Equity</stp>
        <stp>gics sector name</stp>
        <stp>[Macro RPRR.xlsx]monitor!R208C39</stp>
        <tr r="AM208" s="10"/>
      </tp>
      <tp t="s">
        <v>Information Technology</v>
        <stp/>
        <stp>##V3_BDPV12</stp>
        <stp>7752 JT Equity</stp>
        <stp>gics sector name</stp>
        <stp>[Macro RPRR.xlsx]monitor!R103C39</stp>
        <tr r="AM103" s="10"/>
      </tp>
      <tp t="s">
        <v>Financials</v>
        <stp/>
        <stp>##V3_BDPV12</stp>
        <stp>8725 JT Equity</stp>
        <stp>gics sector name</stp>
        <stp>[Macro RPRR.xlsx]monitor!R191C39</stp>
        <tr r="AM191" s="10"/>
      </tp>
      <tp t="s">
        <v>Industrials</v>
        <stp/>
        <stp>##V3_BDPV12</stp>
        <stp>1721 JT Equity</stp>
        <stp>gics sector name</stp>
        <stp>[Macro RPRR.xlsx]monitor!R158C39</stp>
        <tr r="AM158" s="10"/>
      </tp>
      <tp t="s">
        <v>Consumer Discretionary</v>
        <stp/>
        <stp>##V3_BDPV12</stp>
        <stp>7731 JT Equity</stp>
        <stp>gics sector name</stp>
        <stp>[Macro RPRR.xlsx]monitor!R189C39</stp>
        <tr r="AM189" s="10"/>
      </tp>
      <tp t="s">
        <v>Industrials</v>
        <stp/>
        <stp>##V3_BDPV12</stp>
        <stp>9735 JT Equity</stp>
        <stp>gics sector name</stp>
        <stp>[Macro RPRR.xlsx]monitor!R197C39</stp>
        <tr r="AM197" s="10"/>
      </tp>
      <tp t="s">
        <v>Information Technology</v>
        <stp/>
        <stp>##V3_BDPV12</stp>
        <stp>4704 JT Equity</stp>
        <stp>gics sector name</stp>
        <stp>[Macro RPRR.xlsx]monitor!R203C39</stp>
        <tr r="AM203" s="10"/>
      </tp>
      <tp t="s">
        <v>Information Technology</v>
        <stp/>
        <stp>##V3_BDPV12</stp>
        <stp>6703 JT Equity</stp>
        <stp>gics sector name</stp>
        <stp>[Macro RPRR.xlsx]monitor!R181C39</stp>
        <tr r="AM181" s="10"/>
      </tp>
      <tp t="s">
        <v>Materials</v>
        <stp/>
        <stp>##V3_BDPV12</stp>
        <stp>5703 JT Equity</stp>
        <stp>gics sector name</stp>
        <stp>[Macro RPRR.xlsx]monitor!R131C39</stp>
        <tr r="AM131" s="10"/>
      </tp>
      <tp t="s">
        <v>Materials</v>
        <stp/>
        <stp>##V3_BDPV12</stp>
        <stp>5711 JT Equity</stp>
        <stp>gics sector name</stp>
        <stp>[Macro RPRR.xlsx]monitor!R165C39</stp>
        <tr r="AM165" s="10"/>
      </tp>
      <tp>
        <v>119.2</v>
        <stp/>
        <stp>##V3_BDPV12</stp>
        <stp>LCTqnli INDEX</stp>
        <stp>PX LAST</stp>
        <stp>[Macro RPRR.xlsx]EU countries!R11C20</stp>
        <tr r="T11" s="11"/>
      </tp>
      <tp>
        <v>4.0999999999999996</v>
        <stp/>
        <stp>##V3_BDPV12</stp>
        <stp>KOcpiyoy INDEX</stp>
        <stp>PX LAST</stp>
        <stp>[Macro RPRR.xlsx]EU countries!R31C15</stp>
        <tr r="O31" s="11"/>
      </tp>
      <tp>
        <v>77.400000000000006</v>
        <stp/>
        <stp>##V3_BDPV12</stp>
        <stp>LCTqiei INDEX</stp>
        <stp>PX LAST</stp>
        <stp>[Macro RPRR.xlsx]EU countries!R14C20</stp>
        <tr r="T14" s="11"/>
      </tp>
      <tp>
        <v>97.7</v>
        <stp/>
        <stp>##V3_BDPV12</stp>
        <stp>LCTqgri INDEX</stp>
        <stp>PX LAST</stp>
        <stp>[Macro RPRR.xlsx]EU countries!R12C20</stp>
        <tr r="T12" s="11"/>
      </tp>
      <tp t="s">
        <v>Consumer Discretionary</v>
        <stp/>
        <stp>##V3_BDPV12</stp>
        <stp>8233 JT Equity</stp>
        <stp>gics sector name</stp>
        <stp>[Macro RPRR.xlsx]monitor!R28C39</stp>
        <tr r="AM28" s="10"/>
      </tp>
      <tp t="s">
        <v>Industrials</v>
        <stp/>
        <stp>##V3_BDPV12</stp>
        <stp>8001 JT Equity</stp>
        <stp>gics sector name</stp>
        <stp>[Macro RPRR.xlsx]monitor!R90C39</stp>
        <tr r="AM90" s="10"/>
      </tp>
      <tp t="s">
        <v>Industrials</v>
        <stp/>
        <stp>##V3_BDPV12</stp>
        <stp>8002 JT Equity</stp>
        <stp>gics sector name</stp>
        <stp>[Macro RPRR.xlsx]monitor!R73C39</stp>
        <tr r="AM73" s="10"/>
      </tp>
      <tp t="s">
        <v>Information Technology</v>
        <stp/>
        <stp>##V3_BDPV12</stp>
        <stp>8035 JT Equity</stp>
        <stp>gics sector name</stp>
        <stp>[Macro RPRR.xlsx]monitor!R29C39</stp>
        <tr r="AM29" s="10"/>
      </tp>
      <tp t="s">
        <v>Industrials</v>
        <stp/>
        <stp>##V3_BDPV12</stp>
        <stp>8015 JT Equity</stp>
        <stp>gics sector name</stp>
        <stp>[Macro RPRR.xlsx]monitor!R39C39</stp>
        <tr r="AM39" s="10"/>
      </tp>
      <tp t="s">
        <v>Financials</v>
        <stp/>
        <stp>##V3_BDPV12</stp>
        <stp>8795 JT Equity</stp>
        <stp>gics sector name</stp>
        <stp>[Macro RPRR.xlsx]monitor!R80C39</stp>
        <tr r="AM80" s="10"/>
      </tp>
      <tp>
        <v>-0.43656020000000001</v>
        <stp/>
        <stp>##V3_BDPV12</stp>
        <stp>NKY index</stp>
        <stp>chg PCt 1m</stp>
        <stp>[Macro RPRR.xlsx]monitor!R14C14</stp>
        <tr r="N14" s="10"/>
      </tp>
      <tp t="s">
        <v>Real Estate</v>
        <stp/>
        <stp>##V3_BDPV12</stp>
        <stp>8804 JT Equity</stp>
        <stp>gics sector name</stp>
        <stp>[Macro RPRR.xlsx]monitor!R91C39</stp>
        <tr r="AM91" s="10"/>
      </tp>
      <tp>
        <v>123.4</v>
        <stp/>
        <stp>##V3_BDPV12</stp>
        <stp>LCTqpti INDEX</stp>
        <stp>PX LAST</stp>
        <stp>[Macro RPRR.xlsx]EU countries!R13C20</stp>
        <tr r="T13" s="11"/>
      </tp>
      <tp>
        <v>-5.90036</v>
        <stp/>
        <stp>##V3_BDPV12</stp>
        <stp>NKY index</stp>
        <stp>chg PCt 6m</stp>
        <stp>[Macro RPRR.xlsx]monitor!R14C15</stp>
        <tr r="O14" s="10"/>
      </tp>
      <tp>
        <v>35.214320000000001</v>
        <stp/>
        <stp>##V3_BDPV12</stp>
        <stp>S5enrs INDEX</stp>
        <stp>chg PCt 6m</stp>
        <stp>[Macro RPRR.xlsx]monitor!R41C7</stp>
        <tr r="G41" s="10"/>
      </tp>
      <tp>
        <v>2.9780500000000001</v>
        <stp/>
        <stp>##V3_BDPV12</stp>
        <stp>S5enrs INDEX</stp>
        <stp>chg PCt 1m</stp>
        <stp>[Macro RPRR.xlsx]monitor!R41C6</stp>
        <tr r="F41" s="10"/>
      </tp>
      <tp>
        <v>118.4</v>
        <stp/>
        <stp>##V3_BDPV12</stp>
        <stp>EUdb60es index</stp>
        <stp>px last</stp>
        <stp>[Macro RPRR.xlsx]eco data!R6C30</stp>
        <tr r="AD6" s="8"/>
      </tp>
      <tp>
        <v>0.20599999999999999</v>
        <stp/>
        <stp>##V3_BDPV12</stp>
        <stp>gdbr2 index</stp>
        <stp>CHG neT 5d</stp>
        <stp>[Macro RPRR.xlsx]eco data!R25C5</stp>
        <tr r="E25" s="8"/>
      </tp>
      <tp>
        <v>0.48799999999999999</v>
        <stp/>
        <stp>##V3_BDPV12</stp>
        <stp>gdbr2 index</stp>
        <stp>CHG neT 1m</stp>
        <stp>[Macro RPRR.xlsx]eco data!R25C6</stp>
        <tr r="F25" s="8"/>
      </tp>
      <tp>
        <v>16.534906011958185</v>
        <stp/>
        <stp>##V3_BDPV12</stp>
        <stp>OMX index</stp>
        <stp>best pe ratio</stp>
        <stp>[Macro RPRR.xlsx]monitor!R13C13</stp>
        <tr r="M13" s="10"/>
      </tp>
      <tp t="s">
        <v>Financials</v>
        <stp/>
        <stp>##V3_BDPV12</stp>
        <stp>8628 JT Equity</stp>
        <stp>gics sector name</stp>
        <stp>[Macro RPRR.xlsx]monitor!R174C39</stp>
        <tr r="AM174" s="10"/>
      </tp>
      <tp t="s">
        <v>Financials</v>
        <stp/>
        <stp>##V3_BDPV12</stp>
        <stp>8630 JT Equity</stp>
        <stp>gics sector name</stp>
        <stp>[Macro RPRR.xlsx]monitor!R160C39</stp>
        <tr r="AM160" s="10"/>
      </tp>
      <tp t="s">
        <v>Materials</v>
        <stp/>
        <stp>##V3_BDPV12</stp>
        <stp>4631 JT Equity</stp>
        <stp>gics sector name</stp>
        <stp>[Macro RPRR.xlsx]monitor!R169C39</stp>
        <tr r="AM169" s="10"/>
      </tp>
      <tp t="s">
        <v>Communication Services</v>
        <stp/>
        <stp>##V3_BDPV12</stp>
        <stp>9602 JT Equity</stp>
        <stp>gics sector name</stp>
        <stp>[Macro RPRR.xlsx]monitor!R125C39</stp>
        <tr r="AM125" s="10"/>
      </tp>
      <tp t="s">
        <v>Financials</v>
        <stp/>
        <stp>##V3_BDPV12</stp>
        <stp>8604 JT Equity</stp>
        <stp>gics sector name</stp>
        <stp>[Macro RPRR.xlsx]monitor!R150C39</stp>
        <tr r="AM150" s="10"/>
      </tp>
      <tp t="s">
        <v>Financials</v>
        <stp/>
        <stp>##V3_BDPV12</stp>
        <stp>8601 JT Equity</stp>
        <stp>gics sector name</stp>
        <stp>[Macro RPRR.xlsx]monitor!R130C39</stp>
        <tr r="AM130" s="10"/>
      </tp>
      <tp t="s">
        <v>Energy</v>
        <stp/>
        <stp>##V3_BDPV12</stp>
        <stp>1605 JT Equity</stp>
        <stp>gics sector name</stp>
        <stp>[Macro RPRR.xlsx]monitor!R138C39</stp>
        <tr r="AM138" s="10"/>
      </tp>
      <tp>
        <v>-2.8</v>
        <stp/>
        <stp>##V3_BDPV12</stp>
        <stp>EUbdport index</stp>
        <stp>px last</stp>
        <stp>[Macro RPRR.xlsx]eco data!R6C13</stp>
        <tr r="M6" s="8"/>
      </tp>
      <tp>
        <v>1.1537999999999999</v>
        <stp/>
        <stp>##V3_BDPV12</stp>
        <stp>bp0003m INDEX</stp>
        <stp>px last</stp>
        <stp>[Macro RPRR.xlsx]eco data!R50C4</stp>
        <tr r="D50" s="8"/>
      </tp>
      <tp t="s">
        <v>Financials</v>
        <stp/>
        <stp>##V3_BDPV12</stp>
        <stp>8697 JT Equity</stp>
        <stp>gics sector name</stp>
        <stp>[Macro RPRR.xlsx]monitor!R118C39</stp>
        <tr r="AM118" s="10"/>
      </tp>
      <tp>
        <v>9</v>
        <stp/>
        <stp>##V3_BDPV12</stp>
        <stp>UKrpyoy INDEX</stp>
        <stp>PX LAST</stp>
        <stp>[Macro RPRR.xlsx]EU countries!R19C15</stp>
        <tr r="O19" s="11"/>
      </tp>
      <tp>
        <v>5.9</v>
        <stp/>
        <stp>##V3_BDPV12</stp>
        <stp>gdp dyoy index</stp>
        <stp>px last</stp>
        <stp>[Macro RPRR.xlsx]EU countries!R20C15</stp>
        <tr r="O20" s="11"/>
      </tp>
      <tp t="s">
        <v>Industrials</v>
        <stp/>
        <stp>##V3_BDPV12</stp>
        <stp>9301 JT Equity</stp>
        <stp>gics sector name</stp>
        <stp>[Macro RPRR.xlsx]monitor!R88C39</stp>
        <tr r="AM88" s="10"/>
      </tp>
      <tp>
        <v>12.6</v>
        <stp/>
        <stp>##V3_BDPV12</stp>
        <stp>ptgdpyoy index</stp>
        <stp>CHG neT 1yr</stp>
        <stp>[Macro RPRR.xlsx]eco data!R5C16</stp>
        <tr r="P5" s="8"/>
        <tr r="P5" s="8"/>
      </tp>
      <tp t="s">
        <v>Industrials</v>
        <stp/>
        <stp>##V3_BDPV12</stp>
        <stp>9062 JT Equity</stp>
        <stp>gics sector name</stp>
        <stp>[Macro RPRR.xlsx]monitor!R86C39</stp>
        <tr r="AM86" s="10"/>
      </tp>
      <tp t="s">
        <v>Industrials</v>
        <stp/>
        <stp>##V3_BDPV12</stp>
        <stp>9064 JT Equity</stp>
        <stp>gics sector name</stp>
        <stp>[Macro RPRR.xlsx]monitor!R56C39</stp>
        <tr r="AM56" s="10"/>
      </tp>
      <tp t="s">
        <v>Communication Services</v>
        <stp/>
        <stp>##V3_BDPV12</stp>
        <stp>9766 JT Equity</stp>
        <stp>gics sector name</stp>
        <stp>[Macro RPRR.xlsx]monitor!R19C39</stp>
        <tr r="AM19" s="10"/>
      </tp>
      <tp t="s">
        <v>Information Technology</v>
        <stp/>
        <stp>##V3_BDPV12</stp>
        <stp>9613 JT Equity</stp>
        <stp>gics sector name</stp>
        <stp>[Macro RPRR.xlsx]monitor!R72C39</stp>
        <tr r="AM72" s="10"/>
      </tp>
      <tp t="s">
        <v>Utilities</v>
        <stp/>
        <stp>##V3_BDPV12</stp>
        <stp>9501 JT Equity</stp>
        <stp>gics sector name</stp>
        <stp>[Macro RPRR.xlsx]monitor!R61C39</stp>
        <tr r="AM61" s="10"/>
      </tp>
      <tp>
        <v>16.998688759079787</v>
        <stp/>
        <stp>##V3_BDPV12</stp>
        <stp>S5indu INDEX</stp>
        <stp>best pe ratio</stp>
        <stp>[Macro RPRR.xlsx]monitor!R42C4</stp>
        <stp>Best_Fperiod_override=2gy</stp>
        <tr r="D42" s="10"/>
      </tp>
      <tp>
        <v>15.251434586613858</v>
        <stp/>
        <stp>##V3_BDPV12</stp>
        <stp>S5indu INDEX</stp>
        <stp>best pe ratio</stp>
        <stp>[Macro RPRR.xlsx]monitor!R42C5</stp>
        <stp>Best_Fperiod_override=3gy</stp>
        <tr r="E42" s="10"/>
      </tp>
      <tp t="s">
        <v>Consumer Discretionary</v>
        <stp/>
        <stp>##V3_BDPV12</stp>
        <stp>9983 JT Equity</stp>
        <stp>gics sector name</stp>
        <stp>[Macro RPRR.xlsx]monitor!R15C39</stp>
        <tr r="AM15" s="10"/>
      </tp>
      <tp>
        <v>112.9</v>
        <stp/>
        <stp>##V3_BDPV12</stp>
        <stp>EUdb60fr index</stp>
        <stp>px last</stp>
        <stp>[Macro RPRR.xlsx]eco data!R4C30</stp>
        <tr r="AD4" s="8"/>
      </tp>
      <tp>
        <v>193.3</v>
        <stp/>
        <stp>##V3_BDPV12</stp>
        <stp>EUdb60gr index</stp>
        <stp>px last</stp>
        <stp>[Macro RPRR.xlsx]eco data!R8C30</stp>
        <tr r="AD8" s="8"/>
      </tp>
      <tp>
        <v>-9.0492489999999997</v>
        <stp/>
        <stp>##V3_BDPV12</stp>
        <stp>NZSE50FG index</stp>
        <stp>chg PCt 6m</stp>
        <stp>[Macro RPRR.xlsx]monitor!R16C15</stp>
        <tr r="O16" s="10"/>
      </tp>
      <tp>
        <v>-2.4276740000000001</v>
        <stp/>
        <stp>##V3_BDPV12</stp>
        <stp>NZSE50FG index</stp>
        <stp>chg PCt 1m</stp>
        <stp>[Macro RPRR.xlsx]monitor!R16C14</stp>
        <tr r="N16" s="10"/>
      </tp>
      <tp t="s">
        <v>Health Care</v>
        <stp/>
        <stp>##V3_BDPV12</stp>
        <stp>4568 JT Equity</stp>
        <stp>gics sector name</stp>
        <stp>[Macro RPRR.xlsx]monitor!R137C39</stp>
        <tr r="AM137" s="10"/>
      </tp>
      <tp t="s">
        <v>Health Care</v>
        <stp/>
        <stp>##V3_BDPV12</stp>
        <stp>4578 JT Equity</stp>
        <stp>gics sector name</stp>
        <stp>[Macro RPRR.xlsx]monitor!R183C39</stp>
        <tr r="AM183" s="10"/>
      </tp>
      <tp t="s">
        <v>Health Care</v>
        <stp/>
        <stp>##V3_BDPV12</stp>
        <stp>4543 JT Equity</stp>
        <stp>gics sector name</stp>
        <stp>[Macro RPRR.xlsx]monitor!R190C39</stp>
        <tr r="AM190" s="10"/>
      </tp>
      <tp t="s">
        <v>Materials</v>
        <stp/>
        <stp>##V3_BDPV12</stp>
        <stp>5541 JT Equity</stp>
        <stp>gics sector name</stp>
        <stp>[Macro RPRR.xlsx]monitor!R116C39</stp>
        <tr r="AM116" s="10"/>
      </tp>
      <tp t="s">
        <v>Utilities</v>
        <stp/>
        <stp>##V3_BDPV12</stp>
        <stp>9502 JT Equity</stp>
        <stp>gics sector name</stp>
        <stp>[Macro RPRR.xlsx]monitor!R221C39</stp>
        <tr r="AM221" s="10"/>
      </tp>
      <tp t="s">
        <v>Utilities</v>
        <stp/>
        <stp>##V3_BDPV12</stp>
        <stp>9503 JT Equity</stp>
        <stp>gics sector name</stp>
        <stp>[Macro RPRR.xlsx]monitor!R210C39</stp>
        <tr r="AM210" s="10"/>
      </tp>
      <tp t="s">
        <v>Consumer Staples</v>
        <stp/>
        <stp>##V3_BDPV12</stp>
        <stp>2503 JT Equity</stp>
        <stp>gics sector name</stp>
        <stp>[Macro RPRR.xlsx]monitor!R211C39</stp>
        <tr r="AM211" s="10"/>
      </tp>
      <tp t="s">
        <v>Health Care</v>
        <stp/>
        <stp>##V3_BDPV12</stp>
        <stp>4503 JT Equity</stp>
        <stp>gics sector name</stp>
        <stp>[Macro RPRR.xlsx]monitor!R206C39</stp>
        <tr r="AM206" s="10"/>
      </tp>
      <tp t="s">
        <v>Health Care</v>
        <stp/>
        <stp>##V3_BDPV12</stp>
        <stp>4507 JT Equity</stp>
        <stp>gics sector name</stp>
        <stp>[Macro RPRR.xlsx]monitor!R182C39</stp>
        <tr r="AM182" s="10"/>
      </tp>
      <tp t="s">
        <v>Utilities</v>
        <stp/>
        <stp>##V3_BDPV12</stp>
        <stp>9531 JT Equity</stp>
        <stp>gics sector name</stp>
        <stp>[Macro RPRR.xlsx]monitor!R219C39</stp>
        <tr r="AM219" s="10"/>
      </tp>
      <tp t="s">
        <v>Utilities</v>
        <stp/>
        <stp>##V3_BDPV12</stp>
        <stp>9532 JT Equity</stp>
        <stp>gics sector name</stp>
        <stp>[Macro RPRR.xlsx]monitor!R201C39</stp>
        <tr r="AM201" s="10"/>
      </tp>
      <tp t="s">
        <v>Health Care</v>
        <stp/>
        <stp>##V3_BDPV12</stp>
        <stp>4502 JT Equity</stp>
        <stp>gics sector name</stp>
        <stp>[Macro RPRR.xlsx]monitor!R161C39</stp>
        <tr r="AM161" s="10"/>
      </tp>
      <tp t="s">
        <v>Health Care</v>
        <stp/>
        <stp>##V3_BDPV12</stp>
        <stp>4506 JT Equity</stp>
        <stp>gics sector name</stp>
        <stp>[Macro RPRR.xlsx]monitor!R121C39</stp>
        <tr r="AM121" s="10"/>
      </tp>
      <tp t="s">
        <v>Consumer Staples</v>
        <stp/>
        <stp>##V3_BDPV12</stp>
        <stp>2501 JT Equity</stp>
        <stp>gics sector name</stp>
        <stp>[Macro RPRR.xlsx]monitor!R178C39</stp>
        <tr r="AM178" s="10"/>
      </tp>
      <tp t="s">
        <v>Industrials</v>
        <stp/>
        <stp>##V3_BDPV12</stp>
        <stp>6503 JT Equity</stp>
        <stp>gics sector name</stp>
        <stp>[Macro RPRR.xlsx]monitor!R143C39</stp>
        <tr r="AM143" s="10"/>
      </tp>
      <tp t="s">
        <v>Health Care</v>
        <stp/>
        <stp>##V3_BDPV12</stp>
        <stp>4519 JT Equity</stp>
        <stp>gics sector name</stp>
        <stp>[Macro RPRR.xlsx]monitor!R188C39</stp>
        <tr r="AM188" s="10"/>
      </tp>
      <tp t="s">
        <v>Health Care</v>
        <stp/>
        <stp>##V3_BDPV12</stp>
        <stp>4523 JT Equity</stp>
        <stp>gics sector name</stp>
        <stp>[Macro RPRR.xlsx]monitor!R216C39</stp>
        <tr r="AM216" s="10"/>
      </tp>
      <tp>
        <v>27.9</v>
        <stp/>
        <stp>##V3_BDPV12</stp>
        <stp>cesigbp index</stp>
        <stp>chg net 1m</stp>
        <stp>[Macro RPRR.xlsx]rprr!R27C2</stp>
        <tr r="B27" s="4"/>
      </tp>
      <tp>
        <v>5.4</v>
        <stp/>
        <stp>##V3_BDPV12</stp>
        <stp>FRgegdpyoy index</stp>
        <stp>px last</stp>
        <stp>[Macro RPRR.xlsx]eco data!R45C13</stp>
        <tr r="M45" s="8"/>
      </tp>
      <tp>
        <v>42.8</v>
        <stp/>
        <stp>##V3_BDPV12</stp>
        <stp>gddbswitz index</stp>
        <stp>px last</stp>
        <stp>[Macro RPRR.xlsx]EU countries!R18C17</stp>
        <tr r="Q18" s="11"/>
      </tp>
      <tp>
        <v>3.13</v>
        <stp/>
        <stp>##V3_BDPV12</stp>
        <stp>gacgb10 index</stp>
        <stp>px last</stp>
        <stp>[Macro RPRR.xlsx]EU countries!R29C7</stp>
        <tr r="G29" s="11"/>
      </tp>
      <tp t="s">
        <v>Consumer Staples</v>
        <stp/>
        <stp>##V3_BDPV12</stp>
        <stp>4452 JT Equity</stp>
        <stp>gics sector name</stp>
        <stp>[Macro RPRR.xlsx]monitor!R224C39</stp>
        <tr r="AM224" s="10"/>
      </tp>
      <tp t="s">
        <v>Communication Services</v>
        <stp/>
        <stp>##V3_BDPV12</stp>
        <stp>9432 JT Equity</stp>
        <stp>gics sector name</stp>
        <stp>[Macro RPRR.xlsx]monitor!R186C39</stp>
        <tr r="AM186" s="10"/>
      </tp>
      <tp t="s">
        <v>Communication Services</v>
        <stp/>
        <stp>##V3_BDPV12</stp>
        <stp>9433 JT Equity</stp>
        <stp>gics sector name</stp>
        <stp>[Macro RPRR.xlsx]monitor!R187C39</stp>
        <tr r="AM187" s="10"/>
      </tp>
      <tp t="s">
        <v>Communication Services</v>
        <stp/>
        <stp>##V3_BDPV12</stp>
        <stp>9434 JT Equity</stp>
        <stp>gics sector name</stp>
        <stp>[Macro RPRR.xlsx]monitor!R192C39</stp>
        <tr r="AM192" s="10"/>
      </tp>
      <tp t="s">
        <v>Materials</v>
        <stp/>
        <stp>##V3_BDPV12</stp>
        <stp>3401 JT Equity</stp>
        <stp>gics sector name</stp>
        <stp>[Macro RPRR.xlsx]monitor!R204C39</stp>
        <tr r="AM204" s="10"/>
      </tp>
      <tp t="s">
        <v>Materials</v>
        <stp/>
        <stp>##V3_BDPV12</stp>
        <stp>3405 JT Equity</stp>
        <stp>gics sector name</stp>
        <stp>[Macro RPRR.xlsx]monitor!R170C39</stp>
        <tr r="AM170" s="10"/>
      </tp>
      <tp t="s">
        <v>Financials</v>
        <stp/>
        <stp>##V3_BDPV12</stp>
        <stp>8411 JT Equity</stp>
        <stp>gics sector name</stp>
        <stp>[Macro RPRR.xlsx]monitor!R142C39</stp>
        <tr r="AM142" s="10"/>
      </tp>
      <tp t="s">
        <v>Communication Services</v>
        <stp/>
        <stp>##V3_BDPV12</stp>
        <stp>9412 JT Equity</stp>
        <stp>gics sector name</stp>
        <stp>[Macro RPRR.xlsx]monitor!R145C39</stp>
        <tr r="AM145" s="10"/>
      </tp>
      <tp>
        <v>4.7</v>
        <stp/>
        <stp>##V3_BDPV12</stp>
        <stp>EUGNEMUy index</stp>
        <stp>px last</stp>
        <stp>[Macro RPRR.xlsx]EU countries!R5C14</stp>
        <tr r="N5" s="11"/>
      </tp>
      <tp>
        <v>1888.7090000000001</v>
        <stp/>
        <stp>##V3_BDPV12</stp>
        <stp>wgdpitaly index</stp>
        <stp>px last</stp>
        <stp>[Macro RPRR.xlsx]EU countries!R9C10</stp>
        <tr r="J9" s="11"/>
      </tp>
      <tp>
        <v>21.199464098883514</v>
        <stp/>
        <stp>##V3_BDPV12</stp>
        <stp>S5INft INDEX</stp>
        <stp>best pe ratio</stp>
        <stp>[Macro RPRR.xlsx]monitor!R43C4</stp>
        <stp>Best_Fperiod_override=2gy</stp>
        <tr r="D43" s="10"/>
      </tp>
      <tp>
        <v>19.383438656613542</v>
        <stp/>
        <stp>##V3_BDPV12</stp>
        <stp>S5INft INDEX</stp>
        <stp>best pe ratio</stp>
        <stp>[Macro RPRR.xlsx]monitor!R43C5</stp>
        <stp>Best_Fperiod_override=3gy</stp>
        <tr r="E43" s="10"/>
      </tp>
      <tp>
        <v>-2.2983449999999999</v>
        <stp/>
        <stp>##V3_BDPV12</stp>
        <stp>S5indu INDEX</stp>
        <stp>chg PCt 1m</stp>
        <stp>[Macro RPRR.xlsx]monitor!R42C6</stp>
        <tr r="F42" s="10"/>
      </tp>
      <tp>
        <v>-3.6451579999999999</v>
        <stp/>
        <stp>##V3_BDPV12</stp>
        <stp>S5indu INDEX</stp>
        <stp>chg PCt 6m</stp>
        <stp>[Macro RPRR.xlsx]monitor!R42C7</stp>
        <tr r="G42" s="10"/>
      </tp>
      <tp>
        <v>7.3074089999999998</v>
        <stp/>
        <stp>##V3_BDPV12</stp>
        <stp>S5rlst INDEX</stp>
        <stp>chg PCt 1m</stp>
        <stp>[Macro RPRR.xlsx]monitor!R40C6</stp>
        <tr r="F40" s="10"/>
      </tp>
      <tp>
        <v>5.5390009999999998</v>
        <stp/>
        <stp>##V3_BDPV12</stp>
        <stp>S5rlst INDEX</stp>
        <stp>chg PCt 6m</stp>
        <stp>[Macro RPRR.xlsx]monitor!R40C7</stp>
        <tr r="G40" s="10"/>
      </tp>
      <tp>
        <v>50.344404520890976</v>
        <stp/>
        <stp>##V3_BDPV12</stp>
        <stp>C 2 Comdty</stp>
        <stp>chg PCt 6m</stp>
        <stp>[Macro RPRR.xlsx]monitor!R94C5</stp>
        <tr r="E94" s="10"/>
      </tp>
      <tp>
        <v>8.5303186022610493</v>
        <stp/>
        <stp>##V3_BDPV12</stp>
        <stp>C 2 Comdty</stp>
        <stp>chg PCt 1m</stp>
        <stp>[Macro RPRR.xlsx]monitor!R94C4</stp>
        <tr r="D94" s="10"/>
      </tp>
      <tp>
        <v>5.8</v>
        <stp/>
        <stp>##V3_BDPV12</stp>
        <stp>ptgdpyoy index</stp>
        <stp>px last</stp>
        <stp>[Macro RPRR.xlsx]eco data!R5C13</stp>
        <tr r="M5" s="8"/>
      </tp>
      <tp>
        <v>1.5580000000000001</v>
        <stp/>
        <stp>##V3_BDPV12</stp>
        <stp>gspt10 index</stp>
        <stp>chg net 1yr</stp>
        <stp>[Macro RPRR.xlsx]monitor!R10C6</stp>
        <tr r="F10" s="10"/>
      </tp>
      <tp>
        <v>-1.7850000000000001</v>
        <stp/>
        <stp>##V3_BDPV12</stp>
        <stp>gspt10 index</stp>
        <stp>chg net 5yr</stp>
        <stp>[Macro RPRR.xlsx]monitor!R10C7</stp>
        <tr r="G10" s="10"/>
      </tp>
      <tp>
        <v>-4.4753990000000003</v>
        <stp/>
        <stp>##V3_BDPV12</stp>
        <stp>1925 JT Equity</stp>
        <stp>chg PCt 1yr</stp>
        <stp>[Macro RPRR.xlsx]monitor!R156C38</stp>
        <tr r="AL156" s="10"/>
      </tp>
      <tp>
        <v>-1.579987</v>
        <stp/>
        <stp>##V3_BDPV12</stp>
        <stp>1928 JT Equity</stp>
        <stp>chg PCt 1yr</stp>
        <stp>[Macro RPRR.xlsx]monitor!R148C38</stp>
        <tr r="AL148" s="10"/>
      </tp>
      <tp>
        <v>-17.22804</v>
        <stp/>
        <stp>##V3_BDPV12</stp>
        <stp>1803 JT Equity</stp>
        <stp>chg PCt 1yr</stp>
        <stp>[Macro RPRR.xlsx]monitor!R193C38</stp>
        <tr r="AL193" s="10"/>
      </tp>
      <tp>
        <v>-9.2537310000000002</v>
        <stp/>
        <stp>##V3_BDPV12</stp>
        <stp>1802 JT Equity</stp>
        <stp>chg PCt 1yr</stp>
        <stp>[Macro RPRR.xlsx]monitor!R185C38</stp>
        <tr r="AL185" s="10"/>
      </tp>
      <tp>
        <v>-3.7135280000000002</v>
        <stp/>
        <stp>##V3_BDPV12</stp>
        <stp>1812 JT Equity</stp>
        <stp>chg PCt 1yr</stp>
        <stp>[Macro RPRR.xlsx]monitor!R117C38</stp>
        <tr r="AL117" s="10"/>
      </tp>
      <tp>
        <v>-15.86538</v>
        <stp/>
        <stp>##V3_BDPV12</stp>
        <stp>1801 JT Equity</stp>
        <stp>chg PCt 1yr</stp>
        <stp>[Macro RPRR.xlsx]monitor!R132C38</stp>
        <tr r="AL132" s="10"/>
      </tp>
      <tp>
        <v>-7.1852340000000003</v>
        <stp/>
        <stp>##V3_BDPV12</stp>
        <stp>1808 JT Equity</stp>
        <stp>chg PCt 1yr</stp>
        <stp>[Macro RPRR.xlsx]monitor!R134C38</stp>
        <tr r="AL134" s="10"/>
      </tp>
      <tp>
        <v>-21.810220000000001</v>
        <stp/>
        <stp>##V3_BDPV12</stp>
        <stp>1721 JT Equity</stp>
        <stp>chg PCt 1yr</stp>
        <stp>[Macro RPRR.xlsx]monitor!R158C38</stp>
        <tr r="AL158" s="10"/>
      </tp>
      <tp>
        <v>115.6463</v>
        <stp/>
        <stp>##V3_BDPV12</stp>
        <stp>1605 JT Equity</stp>
        <stp>chg PCt 1yr</stp>
        <stp>[Macro RPRR.xlsx]monitor!R138C38</stp>
        <tr r="AL138" s="10"/>
      </tp>
      <tp>
        <v>13.147410000000001</v>
        <stp/>
        <stp>##V3_BDPV12</stp>
        <stp>1332 JT Equity</stp>
        <stp>chg PCt 1yr</stp>
        <stp>[Macro RPRR.xlsx]monitor!R195C38</stp>
        <tr r="AL195" s="10"/>
      </tp>
      <tp>
        <v>-3.3374030000000001</v>
        <stp/>
        <stp>##V3_BDPV12</stp>
        <stp>1333 JT Equity</stp>
        <stp>chg PCt 1yr</stp>
        <stp>[Macro RPRR.xlsx]monitor!R175C38</stp>
        <tr r="AL175" s="10"/>
      </tp>
      <tp>
        <v>-0.69199999999999995</v>
        <stp/>
        <stp>##V3_BDPV12</stp>
        <stp>getb1 INDEX</stp>
        <stp>px last</stp>
        <stp>[Macro RPRR.xlsx]eco data!R10C22</stp>
        <tr r="V10" s="8"/>
      </tp>
      <tp>
        <v>-2.3027000000000002</v>
        <stp/>
        <stp>##V3_BDPV12</stp>
        <stp>IEAC LN EQUITY</stp>
        <stp>MF_tot_1D</stp>
        <stp>[Macro RPRR.xlsx]flows!R27C9</stp>
        <tr r="I27" s="12"/>
      </tp>
      <tp t="s">
        <v>Retail</v>
        <stp/>
        <stp>##V3_BDPV12</stp>
        <stp>8233 JT Equity</stp>
        <stp>industry group</stp>
        <stp>[Macro RPRR.xlsx]monitor!R28C40</stp>
        <tr r="AN28" s="10"/>
      </tp>
      <tp t="s">
        <v>Healthcare-Products</v>
        <stp/>
        <stp>##V3_BDPV12</stp>
        <stp>7733 JT Equity</stp>
        <stp>industry group</stp>
        <stp>[Macro RPRR.xlsx]monitor!R92C40</stp>
        <tr r="AN92" s="10"/>
      </tp>
      <tp t="s">
        <v>Building Materials</v>
        <stp/>
        <stp>##V3_BDPV12</stp>
        <stp>5233 JT Equity</stp>
        <stp>industry group</stp>
        <stp>[Macro RPRR.xlsx]monitor!R96C40</stp>
        <tr r="AN96" s="10"/>
      </tp>
      <tp t="s">
        <v>Building Materials</v>
        <stp/>
        <stp>##V3_BDPV12</stp>
        <stp>5332 JT Equity</stp>
        <stp>industry group</stp>
        <stp>[Macro RPRR.xlsx]monitor!R38C40</stp>
        <tr r="AN38" s="10"/>
      </tp>
      <tp t="s">
        <v>Software</v>
        <stp/>
        <stp>##V3_BDPV12</stp>
        <stp>2432 JT Equity</stp>
        <stp>industry group</stp>
        <stp>[Macro RPRR.xlsx]monitor!R44C40</stp>
        <tr r="AN44" s="10"/>
      </tp>
      <tp t="s">
        <v>Beverages</v>
        <stp/>
        <stp>##V3_BDPV12</stp>
        <stp>2531 JT Equity</stp>
        <stp>industry group</stp>
        <stp>[Macro RPRR.xlsx]monitor!R27C40</stp>
        <tr r="AN27" s="10"/>
      </tp>
      <tp t="s">
        <v>Iron/Steel</v>
        <stp/>
        <stp>##V3_BDPV12</stp>
        <stp>5631 JT Equity</stp>
        <stp>industry group</stp>
        <stp>[Macro RPRR.xlsx]monitor!R13C40</stp>
        <tr r="AN13" s="10"/>
      </tp>
      <tp t="s">
        <v>Semiconductors</v>
        <stp/>
        <stp>##V3_BDPV12</stp>
        <stp>3436 JT Equity</stp>
        <stp>industry group</stp>
        <stp>[Macro RPRR.xlsx]monitor!R35C40</stp>
        <tr r="AN35" s="10"/>
      </tp>
      <tp t="s">
        <v>Semiconductors</v>
        <stp/>
        <stp>##V3_BDPV12</stp>
        <stp>8035 JT Equity</stp>
        <stp>industry group</stp>
        <stp>[Macro RPRR.xlsx]monitor!R29C40</stp>
        <tr r="AN29" s="10"/>
      </tp>
      <tp t="s">
        <v>Communication Services</v>
        <stp/>
        <stp>##V3_BDPV12</stp>
        <stp>4324 JT Equity</stp>
        <stp>gics sector name</stp>
        <stp>[Macro RPRR.xlsx]monitor!R58C39</stp>
        <tr r="AM58" s="10"/>
      </tp>
      <tp t="s">
        <v>Materials</v>
        <stp/>
        <stp>##V3_BDPV12</stp>
        <stp>4183 JT Equity</stp>
        <stp>gics sector name</stp>
        <stp>[Macro RPRR.xlsx]monitor!R68C39</stp>
        <tr r="AM68" s="10"/>
      </tp>
      <tp t="s">
        <v>Materials</v>
        <stp/>
        <stp>##V3_BDPV12</stp>
        <stp>4005 JT Equity</stp>
        <stp>gics sector name</stp>
        <stp>[Macro RPRR.xlsx]monitor!R48C39</stp>
        <tr r="AM48" s="10"/>
      </tp>
      <tp t="s">
        <v>Materials</v>
        <stp/>
        <stp>##V3_BDPV12</stp>
        <stp>4061 JT Equity</stp>
        <stp>gics sector name</stp>
        <stp>[Macro RPRR.xlsx]monitor!R23C39</stp>
        <tr r="AM23" s="10"/>
      </tp>
      <tp t="s">
        <v>Materials</v>
        <stp/>
        <stp>##V3_BDPV12</stp>
        <stp>4042 JT Equity</stp>
        <stp>gics sector name</stp>
        <stp>[Macro RPRR.xlsx]monitor!R51C39</stp>
        <tr r="AM51" s="10"/>
      </tp>
      <tp t="s">
        <v>Materials</v>
        <stp/>
        <stp>##V3_BDPV12</stp>
        <stp>4004 JT Equity</stp>
        <stp>gics sector name</stp>
        <stp>[Macro RPRR.xlsx]monitor!R30C39</stp>
        <tr r="AM30" s="10"/>
      </tp>
      <tp t="s">
        <v>Materials</v>
        <stp/>
        <stp>##V3_BDPV12</stp>
        <stp>4063 JT Equity</stp>
        <stp>gics sector name</stp>
        <stp>[Macro RPRR.xlsx]monitor!R49C39</stp>
        <tr r="AM49" s="10"/>
      </tp>
      <tp t="s">
        <v>Consumer Discretionary</v>
        <stp/>
        <stp>##V3_BDPV12</stp>
        <stp>4755 JT Equity</stp>
        <stp>gics sector name</stp>
        <stp>[Macro RPRR.xlsx]monitor!R81C39</stp>
        <tr r="AM81" s="10"/>
      </tp>
      <tp t="s">
        <v>Communication Services</v>
        <stp/>
        <stp>##V3_BDPV12</stp>
        <stp>4751 JT Equity</stp>
        <stp>gics sector name</stp>
        <stp>[Macro RPRR.xlsx]monitor!R26C39</stp>
        <tr r="AM26" s="10"/>
      </tp>
      <tp t="s">
        <v>Communication Services</v>
        <stp/>
        <stp>##V3_BDPV12</stp>
        <stp>4689 JT Equity</stp>
        <stp>gics sector name</stp>
        <stp>[Macro RPRR.xlsx]monitor!R78C39</stp>
        <tr r="AM78" s="10"/>
      </tp>
      <tp>
        <v>-0.1326</v>
        <stp/>
        <stp>##V3_BDPV12</stp>
        <stp>micxru3M index</stp>
        <stp>CHG neT 5d</stp>
        <stp>[Macro RPRR.xlsx]eco data!R36C23</stp>
        <tr r="W36" s="8"/>
        <tr r="W36" s="8"/>
      </tp>
      <tp>
        <v>20.4209815596105</v>
        <stp/>
        <stp>##V3_BDPV12</stp>
        <stp>S5utiL INDEX</stp>
        <stp>best pe ratio</stp>
        <stp>[Macro RPRR.xlsx]monitor!R47C4</stp>
        <stp>Best_Fperiod_override=2gy</stp>
        <tr r="D47" s="10"/>
      </tp>
      <tp>
        <v>18.893280360016401</v>
        <stp/>
        <stp>##V3_BDPV12</stp>
        <stp>S5utiL INDEX</stp>
        <stp>best pe ratio</stp>
        <stp>[Macro RPRR.xlsx]monitor!R47C5</stp>
        <stp>Best_Fperiod_override=3gy</stp>
        <tr r="E47" s="10"/>
      </tp>
      <tp t="s">
        <v>#N/A N/A</v>
        <stp/>
        <stp>##V3_BDPV12</stp>
        <stp>ehbbus index</stp>
        <stp>CHG neT 5d</stp>
        <stp>[Macro RPRR.xlsx]eco data!R6C5</stp>
        <tr r="E6" s="8"/>
      </tp>
      <tp t="s">
        <v>#N/A N/A</v>
        <stp/>
        <stp>##V3_BDPV12</stp>
        <stp>ehbbus index</stp>
        <stp>CHG neT 1m</stp>
        <stp>[Macro RPRR.xlsx]eco data!R6C6</stp>
        <tr r="F6" s="8"/>
      </tp>
      <tp>
        <v>3</v>
        <stp/>
        <stp>##V3_BDPV12</stp>
        <stp>EUbdport index</stp>
        <stp>CHG neT 1yr</stp>
        <stp>[Macro RPRR.xlsx]eco data!R6C16</stp>
        <tr r="P6" s="8"/>
        <tr r="P6" s="8"/>
      </tp>
      <tp>
        <v>-7.63</v>
        <stp/>
        <stp>##V3_BDPV12</stp>
        <stp>ehbbgb INDEX</stp>
        <stp>PX LAST</stp>
        <stp>[Macro RPRR.xlsx]eco data!R46C4</stp>
        <tr r="D46" s="8"/>
      </tp>
      <tp>
        <v>41.047221042888829</v>
        <stp/>
        <stp>##V3_BDPV12</stp>
        <stp>W 2 Comdty</stp>
        <stp>chg PCt 6m</stp>
        <stp>[Macro RPRR.xlsx]monitor!R95C5</stp>
        <tr r="E95" s="10"/>
      </tp>
      <tp>
        <v>-3.3605812897366025</v>
        <stp/>
        <stp>##V3_BDPV12</stp>
        <stp>W 2 Comdty</stp>
        <stp>chg PCt 1m</stp>
        <stp>[Macro RPRR.xlsx]monitor!R95C4</stp>
        <tr r="D95" s="10"/>
      </tp>
      <tp>
        <v>75.59</v>
        <stp/>
        <stp>##V3_BDPV12</stp>
        <stp>TWI BPSP curncy</stp>
        <stp>px last</stp>
        <stp>[Macro RPRR.xlsx]eco data!R53C4</stp>
        <tr r="D53" s="8"/>
      </tp>
      <tp>
        <v>65.458330000000004</v>
        <stp/>
        <stp>##V3_BDPV12</stp>
        <stp>NZSE50FG index</stp>
        <stp>chg PCt 5yr</stp>
        <stp>[Macro RPRR.xlsx]monitor!R16C17</stp>
        <tr r="Q16" s="10"/>
      </tp>
      <tp t="s">
        <v>Machinery-Diversified</v>
        <stp/>
        <stp>##V3_BDPV12</stp>
        <stp>6326 JT Equity</stp>
        <stp>industry group</stp>
        <stp>[Macro RPRR.xlsx]monitor!R41C40</stp>
        <tr r="AN41" s="10"/>
      </tp>
      <tp t="s">
        <v>Office/Business Equip</v>
        <stp/>
        <stp>##V3_BDPV12</stp>
        <stp>6724 JT Equity</stp>
        <stp>industry group</stp>
        <stp>[Macro RPRR.xlsx]monitor!R66C40</stp>
        <tr r="AN66" s="10"/>
      </tp>
      <tp t="s">
        <v>Advertising</v>
        <stp/>
        <stp>##V3_BDPV12</stp>
        <stp>4324 JT Equity</stp>
        <stp>industry group</stp>
        <stp>[Macro RPRR.xlsx]monitor!R58C40</stp>
        <tr r="AN58" s="10"/>
      </tp>
      <tp t="s">
        <v>Industrials</v>
        <stp/>
        <stp>##V3_BDPV12</stp>
        <stp>5332 JT Equity</stp>
        <stp>gics sector name</stp>
        <stp>[Macro RPRR.xlsx]monitor!R38C39</stp>
        <tr r="AM38" s="10"/>
      </tp>
      <tp t="s">
        <v>Materials</v>
        <stp/>
        <stp>##V3_BDPV12</stp>
        <stp>5301 JT Equity</stp>
        <stp>gics sector name</stp>
        <stp>[Macro RPRR.xlsx]monitor!R21C39</stp>
        <tr r="AM21" s="10"/>
      </tp>
      <tp t="s">
        <v>Materials</v>
        <stp/>
        <stp>##V3_BDPV12</stp>
        <stp>5233 JT Equity</stp>
        <stp>gics sector name</stp>
        <stp>[Macro RPRR.xlsx]monitor!R96C39</stp>
        <tr r="AM96" s="10"/>
      </tp>
      <tp t="s">
        <v>Information Technology</v>
        <stp/>
        <stp>##V3_BDPV12</stp>
        <stp>5214 JT Equity</stp>
        <stp>gics sector name</stp>
        <stp>[Macro RPRR.xlsx]monitor!R55C39</stp>
        <tr r="AM55" s="10"/>
      </tp>
      <tp t="s">
        <v>Industrials</v>
        <stp/>
        <stp>##V3_BDPV12</stp>
        <stp>5202 JT Equity</stp>
        <stp>gics sector name</stp>
        <stp>[Macro RPRR.xlsx]monitor!R74C39</stp>
        <tr r="AM74" s="10"/>
      </tp>
      <tp t="s">
        <v>Industrials</v>
        <stp/>
        <stp>##V3_BDPV12</stp>
        <stp>5201 JT Equity</stp>
        <stp>gics sector name</stp>
        <stp>[Macro RPRR.xlsx]monitor!R69C39</stp>
        <tr r="AM69" s="10"/>
      </tp>
      <tp t="s">
        <v>Consumer Discretionary</v>
        <stp/>
        <stp>##V3_BDPV12</stp>
        <stp>5108 JT Equity</stp>
        <stp>gics sector name</stp>
        <stp>[Macro RPRR.xlsx]monitor!R32C39</stp>
        <tr r="AM32" s="10"/>
      </tp>
      <tp t="s">
        <v>Materials</v>
        <stp/>
        <stp>##V3_BDPV12</stp>
        <stp>5714 JT Equity</stp>
        <stp>gics sector name</stp>
        <stp>[Macro RPRR.xlsx]monitor!R70C39</stp>
        <tr r="AM70" s="10"/>
      </tp>
      <tp t="s">
        <v>Materials</v>
        <stp/>
        <stp>##V3_BDPV12</stp>
        <stp>5707 JT Equity</stp>
        <stp>gics sector name</stp>
        <stp>[Macro RPRR.xlsx]monitor!R65C39</stp>
        <tr r="AM65" s="10"/>
      </tp>
      <tp t="s">
        <v>Materials</v>
        <stp/>
        <stp>##V3_BDPV12</stp>
        <stp>5706 JT Equity</stp>
        <stp>gics sector name</stp>
        <stp>[Macro RPRR.xlsx]monitor!R10C39</stp>
        <tr r="AM10" s="10"/>
      </tp>
      <tp t="s">
        <v>Materials</v>
        <stp/>
        <stp>##V3_BDPV12</stp>
        <stp>5713 JT Equity</stp>
        <stp>gics sector name</stp>
        <stp>[Macro RPRR.xlsx]monitor!R14C39</stp>
        <tr r="AM14" s="10"/>
      </tp>
      <tp t="s">
        <v>Industrials</v>
        <stp/>
        <stp>##V3_BDPV12</stp>
        <stp>5631 JT Equity</stp>
        <stp>gics sector name</stp>
        <stp>[Macro RPRR.xlsx]monitor!R13C39</stp>
        <tr r="AM13" s="10"/>
      </tp>
      <tp t="s">
        <v>Materials</v>
        <stp/>
        <stp>##V3_BDPV12</stp>
        <stp>5411 JT Equity</stp>
        <stp>gics sector name</stp>
        <stp>[Macro RPRR.xlsx]monitor!R47C39</stp>
        <tr r="AM47" s="10"/>
      </tp>
      <tp t="s">
        <v>Materials</v>
        <stp/>
        <stp>##V3_BDPV12</stp>
        <stp>5406 JT Equity</stp>
        <stp>gics sector name</stp>
        <stp>[Macro RPRR.xlsx]monitor!R12C39</stp>
        <tr r="AM12" s="10"/>
      </tp>
      <tp t="s">
        <v>Materials</v>
        <stp/>
        <stp>##V3_BDPV12</stp>
        <stp>5401 JT Equity</stp>
        <stp>gics sector name</stp>
        <stp>[Macro RPRR.xlsx]monitor!R25C39</stp>
        <tr r="AM25" s="10"/>
      </tp>
      <tp t="s">
        <v>Industrials</v>
        <stp/>
        <stp>##V3_BDPV12</stp>
        <stp>5801 JT Equity</stp>
        <stp>gics sector name</stp>
        <stp>[Macro RPRR.xlsx]monitor!R94C39</stp>
        <tr r="AM94" s="10"/>
      </tp>
      <tp t="s">
        <v>Industrials</v>
        <stp/>
        <stp>##V3_BDPV12</stp>
        <stp>5803 JT Equity</stp>
        <stp>gics sector name</stp>
        <stp>[Macro RPRR.xlsx]monitor!R52C39</stp>
        <tr r="AM52" s="10"/>
      </tp>
      <tp>
        <v>-2.0329139999999999</v>
        <stp/>
        <stp>##V3_BDPV12</stp>
        <stp>CAC index</stp>
        <stp>chg PCt 6m</stp>
        <stp>[Macro RPRR.xlsx]monitor!R7C15</stp>
        <tr r="O7" s="10"/>
      </tp>
      <tp>
        <v>-0.94017859999999998</v>
        <stp/>
        <stp>##V3_BDPV12</stp>
        <stp>CAC index</stp>
        <stp>chg PCt 1m</stp>
        <stp>[Macro RPRR.xlsx]monitor!R7C14</stp>
        <tr r="N7" s="10"/>
      </tp>
      <tp>
        <v>-0.15</v>
        <stp/>
        <stp>##V3_BDPV12</stp>
        <stp>XGLE GR EQUITY</stp>
        <stp>MF_tot_1W</stp>
        <stp>[Macro RPRR.xlsx]flows!R30C10</stp>
        <tr r="J30" s="12"/>
      </tp>
      <tp>
        <v>-2.59</v>
        <stp/>
        <stp>##V3_BDPV12</stp>
        <stp>ehcagb INDEX</stp>
        <stp>PX LAST</stp>
        <stp>[Macro RPRR.xlsx]eco data!R47C4</stp>
        <tr r="D47" s="8"/>
      </tp>
      <tp>
        <v>-0.312</v>
        <stp/>
        <stp>##V3_BDPV12</stp>
        <stp>gcny10 index</stp>
        <stp>chg net 1yr</stp>
        <stp>[Macro RPRR.xlsx]monitor!R22C6</stp>
        <tr r="F22" s="10"/>
      </tp>
      <tp>
        <v>-0.61399999999999999</v>
        <stp/>
        <stp>##V3_BDPV12</stp>
        <stp>gcny10 index</stp>
        <stp>chg net 5yr</stp>
        <stp>[Macro RPRR.xlsx]monitor!R22C7</stp>
        <tr r="G22" s="10"/>
      </tp>
      <tp>
        <v>0.96299999999999997</v>
        <stp/>
        <stp>##V3_BDPV12</stp>
        <stp>gukg10 index</stp>
        <stp>chg net 5yr</stp>
        <stp>[Macro RPRR.xlsx]monitor!R12C7</stp>
        <tr r="G12" s="10"/>
      </tp>
      <tp>
        <v>1.2570000000000001</v>
        <stp/>
        <stp>##V3_BDPV12</stp>
        <stp>gukg10 index</stp>
        <stp>chg net 1yr</stp>
        <stp>[Macro RPRR.xlsx]monitor!R12C6</stp>
        <tr r="F12" s="10"/>
      </tp>
      <tp>
        <v>-10.48851</v>
        <stp/>
        <stp>##V3_BDPV12</stp>
        <stp>3861 JT Equity</stp>
        <stp>chg PCt 1yr</stp>
        <stp>[Macro RPRR.xlsx]monitor!R149C38</stp>
        <tr r="AL149" s="10"/>
      </tp>
      <tp>
        <v>-18.330729999999999</v>
        <stp/>
        <stp>##V3_BDPV12</stp>
        <stp>3863 JT Equity</stp>
        <stp>chg PCt 1yr</stp>
        <stp>[Macro RPRR.xlsx]monitor!R223C38</stp>
        <tr r="AL223" s="10"/>
      </tp>
      <tp>
        <v>-12.195119999999999</v>
        <stp/>
        <stp>##V3_BDPV12</stp>
        <stp>3405 JT Equity</stp>
        <stp>chg PCt 1yr</stp>
        <stp>[Macro RPRR.xlsx]monitor!R170C38</stp>
        <tr r="AL170" s="10"/>
      </tp>
      <tp>
        <v>-22.765599999999999</v>
        <stp/>
        <stp>##V3_BDPV12</stp>
        <stp>3401 JT Equity</stp>
        <stp>chg PCt 1yr</stp>
        <stp>[Macro RPRR.xlsx]monitor!R204C38</stp>
        <tr r="AL204" s="10"/>
      </tp>
      <tp>
        <v>1.2150000000000001</v>
        <stp/>
        <stp>##V3_BDPV12</stp>
        <stp>gsgb10 index</stp>
        <stp>chg net 6m</stp>
        <stp>[Macro RPRR.xlsx]monitor!R13C5</stp>
        <tr r="E13" s="10"/>
      </tp>
      <tp>
        <v>0.59799999999999998</v>
        <stp/>
        <stp>##V3_BDPV12</stp>
        <stp>gsgb10 index</stp>
        <stp>chg net 1m</stp>
        <stp>[Macro RPRR.xlsx]monitor!R13C4</stp>
        <tr r="D13" s="10"/>
      </tp>
      <tp>
        <v>-22.26304</v>
        <stp/>
        <stp>##V3_BDPV12</stp>
        <stp>3101 JT Equity</stp>
        <stp>chg PCt 1yr</stp>
        <stp>[Macro RPRR.xlsx]monitor!R141C38</stp>
        <tr r="AL141" s="10"/>
      </tp>
      <tp>
        <v>18.016929999999999</v>
        <stp/>
        <stp>##V3_BDPV12</stp>
        <stp>3105 JT Equity</stp>
        <stp>chg PCt 1yr</stp>
        <stp>[Macro RPRR.xlsx]monitor!R172C38</stp>
        <tr r="AL172" s="10"/>
      </tp>
      <tp>
        <v>35.795450000000002</v>
        <stp/>
        <stp>##V3_BDPV12</stp>
        <stp>3099 JT Equity</stp>
        <stp>chg PCt 1yr</stp>
        <stp>[Macro RPRR.xlsx]monitor!R153C38</stp>
        <tr r="AL153" s="10"/>
      </tp>
      <tp>
        <v>2.9818959999999999</v>
        <stp/>
        <stp>##V3_BDPV12</stp>
        <stp>3086 JT Equity</stp>
        <stp>chg PCt 1yr</stp>
        <stp>[Macro RPRR.xlsx]monitor!R164C38</stp>
        <tr r="AL164" s="10"/>
      </tp>
      <tp>
        <v>26.128319999999999</v>
        <stp/>
        <stp>##V3_BDPV12</stp>
        <stp>3382 JT Equity</stp>
        <stp>chg PCt 1yr</stp>
        <stp>[Macro RPRR.xlsx]monitor!R146C38</stp>
        <tr r="AL146" s="10"/>
      </tp>
      <tp>
        <v>17.53472</v>
        <stp/>
        <stp>##V3_BDPV12</stp>
        <stp>3289 JT Equity</stp>
        <stp>chg PCt 1yr</stp>
        <stp>[Macro RPRR.xlsx]monitor!R136C38</stp>
        <tr r="AL136" s="10"/>
      </tp>
      <tp t="s">
        <v>Information Technology</v>
        <stp/>
        <stp>##V3_BDPV12</stp>
        <stp>6971 JT Equity</stp>
        <stp>gics sector name</stp>
        <stp>[Macro RPRR.xlsx]monitor!R180C39</stp>
        <tr r="AM180" s="10"/>
      </tp>
      <tp t="s">
        <v>Consumer Discretionary</v>
        <stp/>
        <stp>##V3_BDPV12</stp>
        <stp>7951 JT Equity</stp>
        <stp>gics sector name</stp>
        <stp>[Macro RPRR.xlsx]monitor!R112C39</stp>
        <tr r="AM112" s="10"/>
      </tp>
      <tp t="s">
        <v>Consumer Discretionary</v>
        <stp/>
        <stp>##V3_BDPV12</stp>
        <stp>1928 JT Equity</stp>
        <stp>gics sector name</stp>
        <stp>[Macro RPRR.xlsx]monitor!R148C39</stp>
        <tr r="AM148" s="10"/>
      </tp>
      <tp t="s">
        <v>Real Estate</v>
        <stp/>
        <stp>##V3_BDPV12</stp>
        <stp>1925 JT Equity</stp>
        <stp>gics sector name</stp>
        <stp>[Macro RPRR.xlsx]monitor!R156C39</stp>
        <tr r="AM156" s="10"/>
      </tp>
      <tp t="s">
        <v>Industrials</v>
        <stp/>
        <stp>##V3_BDPV12</stp>
        <stp>7912 JT Equity</stp>
        <stp>gics sector name</stp>
        <stp>[Macro RPRR.xlsx]monitor!R217C39</stp>
        <tr r="AM217" s="10"/>
      </tp>
      <tp t="s">
        <v>Materials</v>
        <stp/>
        <stp>##V3_BDPV12</stp>
        <stp>5901 JT Equity</stp>
        <stp>gics sector name</stp>
        <stp>[Macro RPRR.xlsx]monitor!R205C39</stp>
        <tr r="AM205" s="10"/>
      </tp>
      <tp t="s">
        <v>Information Technology</v>
        <stp/>
        <stp>##V3_BDPV12</stp>
        <stp>4902 JT Equity</stp>
        <stp>gics sector name</stp>
        <stp>[Macro RPRR.xlsx]monitor!R127C39</stp>
        <tr r="AM127" s="10"/>
      </tp>
      <tp t="s">
        <v>Information Technology</v>
        <stp/>
        <stp>##V3_BDPV12</stp>
        <stp>4901 JT Equity</stp>
        <stp>gics sector name</stp>
        <stp>[Macro RPRR.xlsx]monitor!R147C39</stp>
        <tr r="AM147" s="10"/>
      </tp>
      <tp t="s">
        <v>Industrials</v>
        <stp/>
        <stp>##V3_BDPV12</stp>
        <stp>7911 JT Equity</stp>
        <stp>gics sector name</stp>
        <stp>[Macro RPRR.xlsx]monitor!R184C39</stp>
        <tr r="AM184" s="10"/>
      </tp>
      <tp t="s">
        <v>Consumer Staples</v>
        <stp/>
        <stp>##V3_BDPV12</stp>
        <stp>2914 JT Equity</stp>
        <stp>gics sector name</stp>
        <stp>[Macro RPRR.xlsx]monitor!R199C39</stp>
        <tr r="AM199" s="10"/>
      </tp>
      <tp t="s">
        <v>Consumer Staples</v>
        <stp/>
        <stp>##V3_BDPV12</stp>
        <stp>4911 JT Equity</stp>
        <stp>gics sector name</stp>
        <stp>[Macro RPRR.xlsx]monitor!R177C39</stp>
        <tr r="AM177" s="10"/>
      </tp>
      <tp>
        <v>1.1000000000000001</v>
        <stp/>
        <stp>##V3_BDPV12</stp>
        <stp>cncpiyoy index</stp>
        <stp>CHG neT 1yr</stp>
        <stp>[Macro RPRR.xlsx]eco data!R18C25</stp>
        <tr r="Y18" s="8"/>
        <tr r="Y18" s="8"/>
      </tp>
      <tp t="s">
        <v>Aerospace/Defense</v>
        <stp/>
        <stp>##V3_BDPV12</stp>
        <stp>7013 JT Equity</stp>
        <stp>industry group</stp>
        <stp>[Macro RPRR.xlsx]monitor!R53C40</stp>
        <tr r="AN53" s="10"/>
      </tp>
      <tp t="s">
        <v>Mining</v>
        <stp/>
        <stp>##V3_BDPV12</stp>
        <stp>5713 JT Equity</stp>
        <stp>industry group</stp>
        <stp>[Macro RPRR.xlsx]monitor!R14C40</stp>
        <tr r="AN14" s="10"/>
      </tp>
      <tp t="s">
        <v>Computers</v>
        <stp/>
        <stp>##V3_BDPV12</stp>
        <stp>9613 JT Equity</stp>
        <stp>industry group</stp>
        <stp>[Macro RPRR.xlsx]monitor!R72C40</stp>
        <tr r="AN72" s="10"/>
      </tp>
      <tp t="s">
        <v>Aerospace/Defense</v>
        <stp/>
        <stp>##V3_BDPV12</stp>
        <stp>7012 JT Equity</stp>
        <stp>industry group</stp>
        <stp>[Macro RPRR.xlsx]monitor!R57C40</stp>
        <tr r="AN57" s="10"/>
      </tp>
      <tp t="s">
        <v>Iron/Steel</v>
        <stp/>
        <stp>##V3_BDPV12</stp>
        <stp>5411 JT Equity</stp>
        <stp>industry group</stp>
        <stp>[Macro RPRR.xlsx]monitor!R47C40</stp>
        <tr r="AN47" s="10"/>
      </tp>
      <tp t="s">
        <v>Distribution/Wholesale</v>
        <stp/>
        <stp>##V3_BDPV12</stp>
        <stp>8015 JT Equity</stp>
        <stp>industry group</stp>
        <stp>[Macro RPRR.xlsx]monitor!R39C40</stp>
        <tr r="AN39" s="10"/>
      </tp>
      <tp t="s">
        <v>Mining</v>
        <stp/>
        <stp>##V3_BDPV12</stp>
        <stp>5714 JT Equity</stp>
        <stp>industry group</stp>
        <stp>[Macro RPRR.xlsx]monitor!R70C40</stp>
        <tr r="AN70" s="10"/>
      </tp>
      <tp t="s">
        <v>Electronics</v>
        <stp/>
        <stp>##V3_BDPV12</stp>
        <stp>5214 JT Equity</stp>
        <stp>industry group</stp>
        <stp>[Macro RPRR.xlsx]monitor!R55C40</stp>
        <tr r="AN55" s="10"/>
      </tp>
      <tp t="s">
        <v>Industrials</v>
        <stp/>
        <stp>##V3_BDPV12</stp>
        <stp>6302 JT Equity</stp>
        <stp>gics sector name</stp>
        <stp>[Macro RPRR.xlsx]monitor!R93C39</stp>
        <tr r="AM93" s="10"/>
      </tp>
      <tp t="s">
        <v>Industrials</v>
        <stp/>
        <stp>##V3_BDPV12</stp>
        <stp>6305 JT Equity</stp>
        <stp>gics sector name</stp>
        <stp>[Macro RPRR.xlsx]monitor!R77C39</stp>
        <tr r="AM77" s="10"/>
      </tp>
      <tp t="s">
        <v>Industrials</v>
        <stp/>
        <stp>##V3_BDPV12</stp>
        <stp>6361 JT Equity</stp>
        <stp>gics sector name</stp>
        <stp>[Macro RPRR.xlsx]monitor!R11C39</stp>
        <tr r="AM11" s="10"/>
      </tp>
      <tp t="s">
        <v>Industrials</v>
        <stp/>
        <stp>##V3_BDPV12</stp>
        <stp>6326 JT Equity</stp>
        <stp>gics sector name</stp>
        <stp>[Macro RPRR.xlsx]monitor!R41C39</stp>
        <tr r="AM41" s="10"/>
      </tp>
      <tp t="s">
        <v>Industrials</v>
        <stp/>
        <stp>##V3_BDPV12</stp>
        <stp>6367 JT Equity</stp>
        <stp>gics sector name</stp>
        <stp>[Macro RPRR.xlsx]monitor!R67C39</stp>
        <tr r="AM67" s="10"/>
      </tp>
      <tp t="s">
        <v>Industrials</v>
        <stp/>
        <stp>##V3_BDPV12</stp>
        <stp>6301 JT Equity</stp>
        <stp>gics sector name</stp>
        <stp>[Macro RPRR.xlsx]monitor!R34C39</stp>
        <tr r="AM34" s="10"/>
      </tp>
      <tp>
        <v>-6.23</v>
        <stp/>
        <stp>##V3_BDPV12</stp>
        <stp>ehbbIN INDEX</stp>
        <stp>PX LAST</stp>
        <stp>[Macro RPRR.xlsx]EU countries!R23C18</stp>
        <tr r="R23" s="11"/>
      </tp>
      <tp>
        <v>-3.62</v>
        <stp/>
        <stp>##V3_BDPV12</stp>
        <stp>ehbbBR INDEX</stp>
        <stp>PX LAST</stp>
        <stp>[Macro RPRR.xlsx]EU countries!R24C18</stp>
        <tr r="R24" s="11"/>
      </tp>
      <tp>
        <v>-7.63</v>
        <stp/>
        <stp>##V3_BDPV12</stp>
        <stp>ehbbgb INDEX</stp>
        <stp>PX LAST</stp>
        <stp>[Macro RPRR.xlsx]EU countries!R19C18</stp>
        <tr r="R19" s="11"/>
      </tp>
      <tp>
        <v>-7.24</v>
        <stp/>
        <stp>##V3_BDPV12</stp>
        <stp>ehbbus INDEX</stp>
        <stp>PX LAST</stp>
        <stp>[Macro RPRR.xlsx]EU countries!R20C18</stp>
        <tr r="R20" s="11"/>
      </tp>
      <tp t="s">
        <v>Industrials</v>
        <stp/>
        <stp>##V3_BDPV12</stp>
        <stp>6103 JT Equity</stp>
        <stp>gics sector name</stp>
        <stp>[Macro RPRR.xlsx]monitor!R63C39</stp>
        <tr r="AM63" s="10"/>
      </tp>
      <tp t="s">
        <v>Industrials</v>
        <stp/>
        <stp>##V3_BDPV12</stp>
        <stp>6098 JT Equity</stp>
        <stp>gics sector name</stp>
        <stp>[Macro RPRR.xlsx]monitor!R40C39</stp>
        <tr r="AM40" s="10"/>
      </tp>
      <tp t="s">
        <v>Information Technology</v>
        <stp/>
        <stp>##V3_BDPV12</stp>
        <stp>6762 JT Equity</stp>
        <stp>gics sector name</stp>
        <stp>[Macro RPRR.xlsx]monitor!R37C39</stp>
        <tr r="AM37" s="10"/>
      </tp>
      <tp t="s">
        <v>Information Technology</v>
        <stp/>
        <stp>##V3_BDPV12</stp>
        <stp>6724 JT Equity</stp>
        <stp>gics sector name</stp>
        <stp>[Macro RPRR.xlsx]monitor!R66C39</stp>
        <tr r="AM66" s="10"/>
      </tp>
      <tp t="s">
        <v>Information Technology</v>
        <stp/>
        <stp>##V3_BDPV12</stp>
        <stp>6702 JT Equity</stp>
        <stp>gics sector name</stp>
        <stp>[Macro RPRR.xlsx]monitor!R76C39</stp>
        <tr r="AM76" s="10"/>
      </tp>
      <tp t="s">
        <v>Information Technology</v>
        <stp/>
        <stp>##V3_BDPV12</stp>
        <stp>6701 JT Equity</stp>
        <stp>gics sector name</stp>
        <stp>[Macro RPRR.xlsx]monitor!R71C39</stp>
        <tr r="AM71" s="10"/>
      </tp>
      <tp t="s">
        <v>Consumer Discretionary</v>
        <stp/>
        <stp>##V3_BDPV12</stp>
        <stp>6758 JT Equity</stp>
        <stp>gics sector name</stp>
        <stp>[Macro RPRR.xlsx]monitor!R45C39</stp>
        <tr r="AM45" s="10"/>
      </tp>
      <tp t="s">
        <v>Consumer Discretionary</v>
        <stp/>
        <stp>##V3_BDPV12</stp>
        <stp>6752 JT Equity</stp>
        <stp>gics sector name</stp>
        <stp>[Macro RPRR.xlsx]monitor!R59C39</stp>
        <tr r="AM59" s="10"/>
      </tp>
      <tp t="s">
        <v>Consumer Discretionary</v>
        <stp/>
        <stp>##V3_BDPV12</stp>
        <stp>6753 JT Equity</stp>
        <stp>gics sector name</stp>
        <stp>[Macro RPRR.xlsx]monitor!R62C39</stp>
        <tr r="AM62" s="10"/>
      </tp>
      <tp>
        <v>16.767998223100157</v>
        <stp/>
        <stp>##V3_BDPV12</stp>
        <stp>S5hlth INDEX</stp>
        <stp>best pe ratio</stp>
        <stp>[Macro RPRR.xlsx]monitor!R46C3</stp>
        <tr r="C46" s="10"/>
      </tp>
      <tp t="s">
        <v>Information Technology</v>
        <stp/>
        <stp>##V3_BDPV12</stp>
        <stp>6645 JT Equity</stp>
        <stp>gics sector name</stp>
        <stp>[Macro RPRR.xlsx]monitor!R89C39</stp>
        <tr r="AM89" s="10"/>
      </tp>
      <tp t="s">
        <v>Industrials</v>
        <stp/>
        <stp>##V3_BDPV12</stp>
        <stp>6674 JT Equity</stp>
        <stp>gics sector name</stp>
        <stp>[Macro RPRR.xlsx]monitor!R18C39</stp>
        <tr r="AM18" s="10"/>
      </tp>
      <tp t="s">
        <v>Industrials</v>
        <stp/>
        <stp>##V3_BDPV12</stp>
        <stp>6501 JT Equity</stp>
        <stp>gics sector name</stp>
        <stp>[Macro RPRR.xlsx]monitor!R54C39</stp>
        <tr r="AM54" s="10"/>
      </tp>
      <tp t="s">
        <v>Industrials</v>
        <stp/>
        <stp>##V3_BDPV12</stp>
        <stp>6504 JT Equity</stp>
        <stp>gics sector name</stp>
        <stp>[Macro RPRR.xlsx]monitor!R64C39</stp>
        <tr r="AM64" s="10"/>
      </tp>
      <tp t="s">
        <v>Industrials</v>
        <stp/>
        <stp>##V3_BDPV12</stp>
        <stp>6506 JT Equity</stp>
        <stp>gics sector name</stp>
        <stp>[Macro RPRR.xlsx]monitor!R33C39</stp>
        <tr r="AM33" s="10"/>
      </tp>
      <tp t="s">
        <v>Consumer Discretionary</v>
        <stp/>
        <stp>##V3_BDPV12</stp>
        <stp>6473 JT Equity</stp>
        <stp>gics sector name</stp>
        <stp>[Macro RPRR.xlsx]monitor!R95C39</stp>
        <tr r="AM95" s="10"/>
      </tp>
      <tp t="s">
        <v>Industrials</v>
        <stp/>
        <stp>##V3_BDPV12</stp>
        <stp>6471 JT Equity</stp>
        <stp>gics sector name</stp>
        <stp>[Macro RPRR.xlsx]monitor!R79C39</stp>
        <tr r="AM79" s="10"/>
      </tp>
      <tp t="s">
        <v>Industrials</v>
        <stp/>
        <stp>##V3_BDPV12</stp>
        <stp>6479 JT Equity</stp>
        <stp>gics sector name</stp>
        <stp>[Macro RPRR.xlsx]monitor!R42C39</stp>
        <tr r="AM42" s="10"/>
      </tp>
      <tp t="s">
        <v>Industrials</v>
        <stp/>
        <stp>##V3_BDPV12</stp>
        <stp>6472 JT Equity</stp>
        <stp>gics sector name</stp>
        <stp>[Macro RPRR.xlsx]monitor!R50C39</stp>
        <tr r="AM50" s="10"/>
      </tp>
      <tp>
        <v>1.3719999999999999</v>
        <stp/>
        <stp>##V3_BDPV12</stp>
        <stp>gcan10yr index</stp>
        <stp>chg net 1yr</stp>
        <stp>[Macro RPRR.xlsx]monitor!R5C6</stp>
        <tr r="F5" s="10"/>
      </tp>
      <tp>
        <v>1.417</v>
        <stp/>
        <stp>##V3_BDPV12</stp>
        <stp>gcan10yr index</stp>
        <stp>chg net 5yr</stp>
        <stp>[Macro RPRR.xlsx]monitor!R5C7</stp>
        <tr r="G5" s="10"/>
      </tp>
      <tp t="s">
        <v>Materials</v>
        <stp/>
        <stp>##V3_BDPV12</stp>
        <stp>6988 JT Equity</stp>
        <stp>gics sector name</stp>
        <stp>[Macro RPRR.xlsx]monitor!R20C39</stp>
        <tr r="AM20" s="10"/>
      </tp>
      <tp t="s">
        <v>Information Technology</v>
        <stp/>
        <stp>##V3_BDPV12</stp>
        <stp>6976 JT Equity</stp>
        <stp>gics sector name</stp>
        <stp>[Macro RPRR.xlsx]monitor!R24C39</stp>
        <tr r="AM24" s="10"/>
      </tp>
      <tp t="s">
        <v>Consumer Discretionary</v>
        <stp/>
        <stp>##V3_BDPV12</stp>
        <stp>6952 JT Equity</stp>
        <stp>gics sector name</stp>
        <stp>[Macro RPRR.xlsx]monitor!R31C39</stp>
        <tr r="AM31" s="10"/>
      </tp>
      <tp t="s">
        <v>Industrials</v>
        <stp/>
        <stp>##V3_BDPV12</stp>
        <stp>6954 JT Equity</stp>
        <stp>gics sector name</stp>
        <stp>[Macro RPRR.xlsx]monitor!R43C39</stp>
        <tr r="AM43" s="10"/>
      </tp>
      <tp t="s">
        <v>Consumer Discretionary</v>
        <stp/>
        <stp>##V3_BDPV12</stp>
        <stp>6902 JT Equity</stp>
        <stp>gics sector name</stp>
        <stp>[Macro RPRR.xlsx]monitor!R17C39</stp>
        <tr r="AM17" s="10"/>
      </tp>
      <tp t="s">
        <v>Information Technology</v>
        <stp/>
        <stp>##V3_BDPV12</stp>
        <stp>6841 JT Equity</stp>
        <stp>gics sector name</stp>
        <stp>[Macro RPRR.xlsx]monitor!R87C39</stp>
        <tr r="AM87" s="10"/>
      </tp>
      <tp>
        <v>-2.5999979999999998</v>
        <stp/>
        <stp>##V3_BDPV12</stp>
        <stp>cesicny index</stp>
        <stp>chg net 1m</stp>
        <stp>[Macro RPRR.xlsx]rprr!R47C2</stp>
        <tr r="B47" s="4"/>
      </tp>
      <tp>
        <v>-20.805540000000001</v>
        <stp/>
        <stp>##V3_BDPV12</stp>
        <stp>S5tels INDEX</stp>
        <stp>chg PCt 6m</stp>
        <stp>[Macro RPRR.xlsx]monitor!R44C7</stp>
        <tr r="G44" s="10"/>
      </tp>
      <tp>
        <v>-9.2930759999999992</v>
        <stp/>
        <stp>##V3_BDPV12</stp>
        <stp>S5tels INDEX</stp>
        <stp>chg PCt 1m</stp>
        <stp>[Macro RPRR.xlsx]monitor!R44C6</stp>
        <tr r="F44" s="10"/>
      </tp>
      <tp t="s">
        <v>#N/A N/A</v>
        <stp/>
        <stp>##V3_BDPV12</stp>
        <stp>ehcaus index</stp>
        <stp>CHG neT 5d</stp>
        <stp>[Macro RPRR.xlsx]eco data!R7C5</stp>
        <tr r="E7" s="8"/>
      </tp>
      <tp t="s">
        <v>#N/A N/A</v>
        <stp/>
        <stp>##V3_BDPV12</stp>
        <stp>ehcaus index</stp>
        <stp>CHG neT 1m</stp>
        <stp>[Macro RPRR.xlsx]eco data!R7C6</stp>
        <tr r="F7" s="8"/>
      </tp>
      <tp t="s">
        <v>#N/A N/A</v>
        <stp/>
        <stp>##V3_BDPV12</stp>
        <stp>EUbdport index</stp>
        <stp>CHG neT 1m</stp>
        <stp>[Macro RPRR.xlsx]eco data!R6C15</stp>
        <tr r="O6" s="8"/>
      </tp>
      <tp t="s">
        <v>#N/A N/A</v>
        <stp/>
        <stp>##V3_BDPV12</stp>
        <stp>EUbdport index</stp>
        <stp>CHG neT 5d</stp>
        <stp>[Macro RPRR.xlsx]eco data!R6C14</stp>
        <tr r="N6" s="8"/>
      </tp>
      <tp>
        <v>1.1160000000000001</v>
        <stp/>
        <stp>##V3_BDPV12</stp>
        <stp>gind10 index</stp>
        <stp>chg net 1yr</stp>
        <stp>[Macro RPRR.xlsx]monitor!R23C6</stp>
        <tr r="F23" s="10"/>
      </tp>
      <tp>
        <v>15.966662524063326</v>
        <stp/>
        <stp>##V3_BDPV12</stp>
        <stp>AS51 index</stp>
        <stp>best pe ratio</stp>
        <stp>[Macro RPRR.xlsx]monitor!R15C13</stp>
        <tr r="M15" s="10"/>
      </tp>
      <tp>
        <v>0.24199999999999999</v>
        <stp/>
        <stp>##V3_BDPV12</stp>
        <stp>gind10 index</stp>
        <stp>chg net 5yr</stp>
        <stp>[Macro RPRR.xlsx]monitor!R23C7</stp>
        <tr r="G23" s="10"/>
      </tp>
      <tp>
        <v>1.2709999999999999</v>
        <stp/>
        <stp>##V3_BDPV12</stp>
        <stp>gsgb10 index</stp>
        <stp>chg net 1yr</stp>
        <stp>[Macro RPRR.xlsx]monitor!R13C6</stp>
        <tr r="F13" s="10"/>
      </tp>
      <tp>
        <v>1.0660000000000001</v>
        <stp/>
        <stp>##V3_BDPV12</stp>
        <stp>gsgb10 index</stp>
        <stp>chg net 5yr</stp>
        <stp>[Macro RPRR.xlsx]monitor!R13C7</stp>
        <tr r="G13" s="10"/>
      </tp>
      <tp>
        <v>6.0955120000000003</v>
        <stp/>
        <stp>##V3_BDPV12</stp>
        <stp>2914 JT Equity</stp>
        <stp>chg PCt 1yr</stp>
        <stp>[Macro RPRR.xlsx]monitor!R199C38</stp>
        <tr r="AL199" s="10"/>
      </tp>
      <tp>
        <v>53.182839999999999</v>
        <stp/>
        <stp>##V3_BDPV12</stp>
        <stp>2802 JT Equity</stp>
        <stp>chg PCt 1yr</stp>
        <stp>[Macro RPRR.xlsx]monitor!R176C38</stp>
        <tr r="AL176" s="10"/>
      </tp>
      <tp>
        <v>-16.960750000000001</v>
        <stp/>
        <stp>##V3_BDPV12</stp>
        <stp>2871 JT Equity</stp>
        <stp>chg PCt 1yr</stp>
        <stp>[Macro RPRR.xlsx]monitor!R215C38</stp>
        <tr r="AL215" s="10"/>
      </tp>
      <tp>
        <v>12.37785</v>
        <stp/>
        <stp>##V3_BDPV12</stp>
        <stp>2501 JT Equity</stp>
        <stp>chg PCt 1yr</stp>
        <stp>[Macro RPRR.xlsx]monitor!R178C38</stp>
        <tr r="AL178" s="10"/>
      </tp>
      <tp>
        <v>31.633990000000001</v>
        <stp/>
        <stp>##V3_BDPV12</stp>
        <stp>2768 JT Equity</stp>
        <stp>chg PCt 1yr</stp>
        <stp>[Macro RPRR.xlsx]monitor!R162C38</stp>
        <tr r="AL162" s="10"/>
      </tp>
      <tp>
        <v>-11.3226</v>
        <stp/>
        <stp>##V3_BDPV12</stp>
        <stp>2503 JT Equity</stp>
        <stp>chg PCt 1yr</stp>
        <stp>[Macro RPRR.xlsx]monitor!R211C38</stp>
        <tr r="AL211" s="10"/>
      </tp>
      <tp>
        <v>-6.1493409999999997</v>
        <stp/>
        <stp>##V3_BDPV12</stp>
        <stp>2269 JT Equity</stp>
        <stp>chg PCt 1yr</stp>
        <stp>[Macro RPRR.xlsx]monitor!R220C38</stp>
        <tr r="AL220" s="10"/>
      </tp>
      <tp>
        <v>-2.3755660000000001</v>
        <stp/>
        <stp>##V3_BDPV12</stp>
        <stp>2002 JT Equity</stp>
        <stp>chg PCt 1yr</stp>
        <stp>[Macro RPRR.xlsx]monitor!R209C38</stp>
        <tr r="AL209" s="10"/>
      </tp>
      <tp>
        <v>-15.82734</v>
        <stp/>
        <stp>##V3_BDPV12</stp>
        <stp>2282 JT Equity</stp>
        <stp>chg PCt 1yr</stp>
        <stp>[Macro RPRR.xlsx]monitor!R157C38</stp>
        <tr r="AL157" s="10"/>
      </tp>
      <tp t="s">
        <v>Materials</v>
        <stp/>
        <stp>##V3_BDPV12</stp>
        <stp>3861 JT Equity</stp>
        <stp>gics sector name</stp>
        <stp>[Macro RPRR.xlsx]monitor!R149C39</stp>
        <tr r="AM149" s="10"/>
      </tp>
      <tp t="s">
        <v>Consumer Staples</v>
        <stp/>
        <stp>##V3_BDPV12</stp>
        <stp>2871 JT Equity</stp>
        <stp>gics sector name</stp>
        <stp>[Macro RPRR.xlsx]monitor!R215C39</stp>
        <tr r="AM215" s="10"/>
      </tp>
      <tp t="s">
        <v>Materials</v>
        <stp/>
        <stp>##V3_BDPV12</stp>
        <stp>3863 JT Equity</stp>
        <stp>gics sector name</stp>
        <stp>[Macro RPRR.xlsx]monitor!R223C39</stp>
        <tr r="AM223" s="10"/>
      </tp>
      <tp t="s">
        <v>Real Estate</v>
        <stp/>
        <stp>##V3_BDPV12</stp>
        <stp>8830 JT Equity</stp>
        <stp>gics sector name</stp>
        <stp>[Macro RPRR.xlsx]monitor!R113C39</stp>
        <tr r="AM113" s="10"/>
      </tp>
      <tp t="s">
        <v>Consumer Discretionary</v>
        <stp/>
        <stp>##V3_BDPV12</stp>
        <stp>7832 JT Equity</stp>
        <stp>gics sector name</stp>
        <stp>[Macro RPRR.xlsx]monitor!R106C39</stp>
        <tr r="AM106" s="10"/>
      </tp>
      <tp t="s">
        <v>Industrials</v>
        <stp/>
        <stp>##V3_BDPV12</stp>
        <stp>1802 JT Equity</stp>
        <stp>gics sector name</stp>
        <stp>[Macro RPRR.xlsx]monitor!R185C39</stp>
        <tr r="AM185" s="10"/>
      </tp>
      <tp t="s">
        <v>Industrials</v>
        <stp/>
        <stp>##V3_BDPV12</stp>
        <stp>1803 JT Equity</stp>
        <stp>gics sector name</stp>
        <stp>[Macro RPRR.xlsx]monitor!R193C39</stp>
        <tr r="AM193" s="10"/>
      </tp>
      <tp t="s">
        <v>Consumer Discretionary</v>
        <stp/>
        <stp>##V3_BDPV12</stp>
        <stp>1808 JT Equity</stp>
        <stp>gics sector name</stp>
        <stp>[Macro RPRR.xlsx]monitor!R134C39</stp>
        <tr r="AM134" s="10"/>
      </tp>
      <tp t="s">
        <v>Industrials</v>
        <stp/>
        <stp>##V3_BDPV12</stp>
        <stp>1801 JT Equity</stp>
        <stp>gics sector name</stp>
        <stp>[Macro RPRR.xlsx]monitor!R132C39</stp>
        <tr r="AM132" s="10"/>
      </tp>
      <tp t="s">
        <v>Consumer Discretionary</v>
        <stp/>
        <stp>##V3_BDPV12</stp>
        <stp>5802 JT Equity</stp>
        <stp>gics sector name</stp>
        <stp>[Macro RPRR.xlsx]monitor!R107C39</stp>
        <tr r="AM107" s="10"/>
      </tp>
      <tp t="s">
        <v>Real Estate</v>
        <stp/>
        <stp>##V3_BDPV12</stp>
        <stp>8801 JT Equity</stp>
        <stp>gics sector name</stp>
        <stp>[Macro RPRR.xlsx]monitor!R123C39</stp>
        <tr r="AM123" s="10"/>
      </tp>
      <tp t="s">
        <v>Consumer Staples</v>
        <stp/>
        <stp>##V3_BDPV12</stp>
        <stp>2802 JT Equity</stp>
        <stp>gics sector name</stp>
        <stp>[Macro RPRR.xlsx]monitor!R176C39</stp>
        <tr r="AM176" s="10"/>
      </tp>
      <tp t="s">
        <v>Real Estate</v>
        <stp/>
        <stp>##V3_BDPV12</stp>
        <stp>8802 JT Equity</stp>
        <stp>gics sector name</stp>
        <stp>[Macro RPRR.xlsx]monitor!R159C39</stp>
        <tr r="AM159" s="10"/>
      </tp>
      <tp>
        <v>11.29291671590771</v>
        <stp/>
        <stp>##V3_BDPV12</stp>
        <stp>ASX index</stp>
        <stp>best pe ratio</stp>
        <stp>[Macro RPRR.xlsx]monitor!R24C13</stp>
        <tr r="M24" s="10"/>
      </tp>
      <tp t="s">
        <v>Industrials</v>
        <stp/>
        <stp>##V3_BDPV12</stp>
        <stp>1812 JT Equity</stp>
        <stp>gics sector name</stp>
        <stp>[Macro RPRR.xlsx]monitor!R117C39</stp>
        <tr r="AM117" s="10"/>
      </tp>
      <tp t="s">
        <v>Auto Parts&amp;Equipment</v>
        <stp/>
        <stp>##V3_BDPV12</stp>
        <stp>5108 JT Equity</stp>
        <stp>industry group</stp>
        <stp>[Macro RPRR.xlsx]monitor!R32C40</stp>
        <tr r="AN32" s="10"/>
      </tp>
      <tp t="s">
        <v>Electrical Compo&amp;Equip</v>
        <stp/>
        <stp>##V3_BDPV12</stp>
        <stp>5803 JT Equity</stp>
        <stp>industry group</stp>
        <stp>[Macro RPRR.xlsx]monitor!R52C40</stp>
        <tr r="AN52" s="10"/>
      </tp>
      <tp t="s">
        <v>Machinery-Diversified</v>
        <stp/>
        <stp>##V3_BDPV12</stp>
        <stp>6103 JT Equity</stp>
        <stp>industry group</stp>
        <stp>[Macro RPRR.xlsx]monitor!R63C40</stp>
        <tr r="AN63" s="10"/>
      </tp>
      <tp t="s">
        <v>Textiles</v>
        <stp/>
        <stp>##V3_BDPV12</stp>
        <stp>3103 JT Equity</stp>
        <stp>industry group</stp>
        <stp>[Macro RPRR.xlsx]monitor!R97C40</stp>
        <tr r="AN97" s="10"/>
      </tp>
      <tp t="s">
        <v>Building Materials</v>
        <stp/>
        <stp>##V3_BDPV12</stp>
        <stp>5202 JT Equity</stp>
        <stp>industry group</stp>
        <stp>[Macro RPRR.xlsx]monitor!R74C40</stp>
        <tr r="AN74" s="10"/>
      </tp>
      <tp t="s">
        <v>Beverages</v>
        <stp/>
        <stp>##V3_BDPV12</stp>
        <stp>2502 JT Equity</stp>
        <stp>industry group</stp>
        <stp>[Macro RPRR.xlsx]monitor!R36C40</stp>
        <tr r="AN36" s="10"/>
      </tp>
      <tp t="s">
        <v>Computers</v>
        <stp/>
        <stp>##V3_BDPV12</stp>
        <stp>6702 JT Equity</stp>
        <stp>industry group</stp>
        <stp>[Macro RPRR.xlsx]monitor!R76C40</stp>
        <tr r="AN76" s="10"/>
      </tp>
      <tp t="s">
        <v>Auto Parts&amp;Equipment</v>
        <stp/>
        <stp>##V3_BDPV12</stp>
        <stp>6902 JT Equity</stp>
        <stp>industry group</stp>
        <stp>[Macro RPRR.xlsx]monitor!R17C40</stp>
        <tr r="AN17" s="10"/>
      </tp>
      <tp t="s">
        <v>Chemicals</v>
        <stp/>
        <stp>##V3_BDPV12</stp>
        <stp>3402 JT Equity</stp>
        <stp>industry group</stp>
        <stp>[Macro RPRR.xlsx]monitor!R98C40</stp>
        <tr r="AN98" s="10"/>
      </tp>
      <tp t="s">
        <v>Auto Manufacturers</v>
        <stp/>
        <stp>##V3_BDPV12</stp>
        <stp>7202 JT Equity</stp>
        <stp>industry group</stp>
        <stp>[Macro RPRR.xlsx]monitor!R84C40</stp>
        <tr r="AN84" s="10"/>
      </tp>
      <tp t="s">
        <v>Distribution/Wholesale</v>
        <stp/>
        <stp>##V3_BDPV12</stp>
        <stp>8002 JT Equity</stp>
        <stp>industry group</stp>
        <stp>[Macro RPRR.xlsx]monitor!R73C40</stp>
        <tr r="AN73" s="10"/>
      </tp>
      <tp t="s">
        <v>Machinery-Diversified</v>
        <stp/>
        <stp>##V3_BDPV12</stp>
        <stp>6302 JT Equity</stp>
        <stp>industry group</stp>
        <stp>[Macro RPRR.xlsx]monitor!R93C40</stp>
        <tr r="AN93" s="10"/>
      </tp>
      <tp t="s">
        <v>Building Materials</v>
        <stp/>
        <stp>##V3_BDPV12</stp>
        <stp>5201 JT Equity</stp>
        <stp>industry group</stp>
        <stp>[Macro RPRR.xlsx]monitor!R69C40</stp>
        <tr r="AN69" s="10"/>
      </tp>
      <tp t="s">
        <v>Machinery-Constr&amp;Mining</v>
        <stp/>
        <stp>##V3_BDPV12</stp>
        <stp>6501 JT Equity</stp>
        <stp>industry group</stp>
        <stp>[Macro RPRR.xlsx]monitor!R54C40</stp>
        <tr r="AN54" s="10"/>
      </tp>
      <tp t="s">
        <v>Transportation</v>
        <stp/>
        <stp>##V3_BDPV12</stp>
        <stp>9301 JT Equity</stp>
        <stp>industry group</stp>
        <stp>[Macro RPRR.xlsx]monitor!R88C40</stp>
        <tr r="AN88" s="10"/>
      </tp>
      <tp t="s">
        <v>Computers</v>
        <stp/>
        <stp>##V3_BDPV12</stp>
        <stp>6701 JT Equity</stp>
        <stp>industry group</stp>
        <stp>[Macro RPRR.xlsx]monitor!R71C40</stp>
        <tr r="AN71" s="10"/>
      </tp>
      <tp t="s">
        <v>Distribution/Wholesale</v>
        <stp/>
        <stp>##V3_BDPV12</stp>
        <stp>8001 JT Equity</stp>
        <stp>industry group</stp>
        <stp>[Macro RPRR.xlsx]monitor!R90C40</stp>
        <tr r="AN90" s="10"/>
      </tp>
      <tp t="s">
        <v>Chemicals</v>
        <stp/>
        <stp>##V3_BDPV12</stp>
        <stp>5301 JT Equity</stp>
        <stp>industry group</stp>
        <stp>[Macro RPRR.xlsx]monitor!R21C40</stp>
        <tr r="AN21" s="10"/>
      </tp>
      <tp t="s">
        <v>Iron/Steel</v>
        <stp/>
        <stp>##V3_BDPV12</stp>
        <stp>5401 JT Equity</stp>
        <stp>industry group</stp>
        <stp>[Macro RPRR.xlsx]monitor!R25C40</stp>
        <tr r="AN25" s="10"/>
      </tp>
      <tp t="s">
        <v>Food</v>
        <stp/>
        <stp>##V3_BDPV12</stp>
        <stp>2801 JT Equity</stp>
        <stp>industry group</stp>
        <stp>[Macro RPRR.xlsx]monitor!R60C40</stp>
        <tr r="AN60" s="10"/>
      </tp>
      <tp t="s">
        <v>Machinery-Constr&amp;Mining</v>
        <stp/>
        <stp>##V3_BDPV12</stp>
        <stp>6301 JT Equity</stp>
        <stp>industry group</stp>
        <stp>[Macro RPRR.xlsx]monitor!R34C40</stp>
        <tr r="AN34" s="10"/>
      </tp>
      <tp t="s">
        <v>Electric</v>
        <stp/>
        <stp>##V3_BDPV12</stp>
        <stp>9501 JT Equity</stp>
        <stp>industry group</stp>
        <stp>[Macro RPRR.xlsx]monitor!R61C40</stp>
        <tr r="AN61" s="10"/>
      </tp>
      <tp t="s">
        <v>Auto Manufacturers</v>
        <stp/>
        <stp>##V3_BDPV12</stp>
        <stp>7201 JT Equity</stp>
        <stp>industry group</stp>
        <stp>[Macro RPRR.xlsx]monitor!R83C40</stp>
        <tr r="AN83" s="10"/>
      </tp>
      <tp t="s">
        <v>Electrical Compo&amp;Equip</v>
        <stp/>
        <stp>##V3_BDPV12</stp>
        <stp>5801 JT Equity</stp>
        <stp>industry group</stp>
        <stp>[Macro RPRR.xlsx]monitor!R94C40</stp>
        <tr r="AN94" s="10"/>
      </tp>
      <tp t="s">
        <v>Metal Fabricate/Hardware</v>
        <stp/>
        <stp>##V3_BDPV12</stp>
        <stp>5707 JT Equity</stp>
        <stp>industry group</stp>
        <stp>[Macro RPRR.xlsx]monitor!R65C40</stp>
        <tr r="AN65" s="10"/>
      </tp>
      <tp t="s">
        <v>Chemicals</v>
        <stp/>
        <stp>##V3_BDPV12</stp>
        <stp>3407 JT Equity</stp>
        <stp>industry group</stp>
        <stp>[Macro RPRR.xlsx]monitor!R85C40</stp>
        <tr r="AN85" s="10"/>
      </tp>
      <tp t="s">
        <v>Iron/Steel</v>
        <stp/>
        <stp>##V3_BDPV12</stp>
        <stp>5406 JT Equity</stp>
        <stp>industry group</stp>
        <stp>[Macro RPRR.xlsx]monitor!R12C40</stp>
        <tr r="AN12" s="10"/>
      </tp>
      <tp t="s">
        <v>Mining</v>
        <stp/>
        <stp>##V3_BDPV12</stp>
        <stp>5706 JT Equity</stp>
        <stp>industry group</stp>
        <stp>[Macro RPRR.xlsx]monitor!R10C40</stp>
        <tr r="AN10" s="10"/>
      </tp>
      <tp t="s">
        <v>Machinery-Diversified</v>
        <stp/>
        <stp>##V3_BDPV12</stp>
        <stp>6506 JT Equity</stp>
        <stp>industry group</stp>
        <stp>[Macro RPRR.xlsx]monitor!R33C40</stp>
        <tr r="AN33" s="10"/>
      </tp>
      <tp t="s">
        <v>Chemicals</v>
        <stp/>
        <stp>##V3_BDPV12</stp>
        <stp>4005 JT Equity</stp>
        <stp>industry group</stp>
        <stp>[Macro RPRR.xlsx]monitor!R48C40</stp>
        <tr r="AN48" s="10"/>
      </tp>
      <tp t="s">
        <v>Auto Manufacturers</v>
        <stp/>
        <stp>##V3_BDPV12</stp>
        <stp>7205 JT Equity</stp>
        <stp>industry group</stp>
        <stp>[Macro RPRR.xlsx]monitor!R75C40</stp>
        <tr r="AN75" s="10"/>
      </tp>
      <tp t="s">
        <v>Machinery-Constr&amp;Mining</v>
        <stp/>
        <stp>##V3_BDPV12</stp>
        <stp>6305 JT Equity</stp>
        <stp>industry group</stp>
        <stp>[Macro RPRR.xlsx]monitor!R77C40</stp>
        <tr r="AN77" s="10"/>
      </tp>
      <tp>
        <v>-0.69020000000000004</v>
        <stp/>
        <stp>##V3_BDPV12</stp>
        <stp>micxru10y index</stp>
        <stp>CHG neT 5d</stp>
        <stp>[Macro RPRR.xlsx]eco data!R39C23</stp>
        <tr r="W39" s="8"/>
        <tr r="W39" s="8"/>
      </tp>
      <tp t="s">
        <v>Hand/Machine Tools</v>
        <stp/>
        <stp>##V3_BDPV12</stp>
        <stp>6504 JT Equity</stp>
        <stp>industry group</stp>
        <stp>[Macro RPRR.xlsx]monitor!R64C40</stp>
        <tr r="AN64" s="10"/>
      </tp>
      <tp t="s">
        <v>Real Estate</v>
        <stp/>
        <stp>##V3_BDPV12</stp>
        <stp>8804 JT Equity</stp>
        <stp>industry group</stp>
        <stp>[Macro RPRR.xlsx]monitor!R91C40</stp>
        <tr r="AN91" s="10"/>
      </tp>
      <tp t="s">
        <v>Chemicals</v>
        <stp/>
        <stp>##V3_BDPV12</stp>
        <stp>4004 JT Equity</stp>
        <stp>industry group</stp>
        <stp>[Macro RPRR.xlsx]monitor!R30C40</stp>
        <tr r="AN30" s="10"/>
      </tp>
      <tp t="s">
        <v>Consumer Discretionary</v>
        <stp/>
        <stp>##V3_BDPV12</stp>
        <stp>7261 JT Equity</stp>
        <stp>gics sector name</stp>
        <stp>[Macro RPRR.xlsx]monitor!R99C39</stp>
        <tr r="AM99" s="10"/>
      </tp>
      <tp t="s">
        <v>Consumer Discretionary</v>
        <stp/>
        <stp>##V3_BDPV12</stp>
        <stp>7202 JT Equity</stp>
        <stp>gics sector name</stp>
        <stp>[Macro RPRR.xlsx]monitor!R84C39</stp>
        <tr r="AM84" s="10"/>
      </tp>
      <tp t="s">
        <v>Consumer Discretionary</v>
        <stp/>
        <stp>##V3_BDPV12</stp>
        <stp>7201 JT Equity</stp>
        <stp>gics sector name</stp>
        <stp>[Macro RPRR.xlsx]monitor!R83C39</stp>
        <tr r="AM83" s="10"/>
      </tp>
      <tp t="s">
        <v>Industrials</v>
        <stp/>
        <stp>##V3_BDPV12</stp>
        <stp>7205 JT Equity</stp>
        <stp>gics sector name</stp>
        <stp>[Macro RPRR.xlsx]monitor!R75C39</stp>
        <tr r="AM75" s="10"/>
      </tp>
      <tp t="s">
        <v>Consumer Discretionary</v>
        <stp/>
        <stp>##V3_BDPV12</stp>
        <stp>7272 JT Equity</stp>
        <stp>gics sector name</stp>
        <stp>[Macro RPRR.xlsx]monitor!R16C39</stp>
        <tr r="AM16" s="10"/>
      </tp>
      <tp t="s">
        <v>Consumer Discretionary</v>
        <stp/>
        <stp>##V3_BDPV12</stp>
        <stp>7269 JT Equity</stp>
        <stp>gics sector name</stp>
        <stp>[Macro RPRR.xlsx]monitor!R46C39</stp>
        <tr r="AM46" s="10"/>
      </tp>
      <tp>
        <v>-1.1200000000000001</v>
        <stp/>
        <stp>##V3_BDPV12</stp>
        <stp>ehcaIN INDEX</stp>
        <stp>PX LAST</stp>
        <stp>[Macro RPRR.xlsx]EU countries!R23C19</stp>
        <tr r="S23" s="11"/>
      </tp>
      <tp>
        <v>-1.8199999999999998</v>
        <stp/>
        <stp>##V3_BDPV12</stp>
        <stp>ehcaBR INDEX</stp>
        <stp>PX LAST</stp>
        <stp>[Macro RPRR.xlsx]EU countries!R24C19</stp>
        <tr r="S24" s="11"/>
      </tp>
      <tp>
        <v>9.4600000000000009</v>
        <stp/>
        <stp>##V3_BDPV12</stp>
        <stp>ehcanl INDEX</stp>
        <stp>PX LAST</stp>
        <stp>[Macro RPRR.xlsx]EU countries!R11C19</stp>
        <tr r="S11" s="11"/>
      </tp>
      <tp>
        <v>13.95</v>
        <stp/>
        <stp>##V3_BDPV12</stp>
        <stp>ehcaie INDEX</stp>
        <stp>PX LAST</stp>
        <stp>[Macro RPRR.xlsx]EU countries!R14C19</stp>
        <tr r="S14" s="11"/>
      </tp>
      <tp>
        <v>2.86</v>
        <stp/>
        <stp>##V3_BDPV12</stp>
        <stp>ehcajp INDEX</stp>
        <stp>PX LAST</stp>
        <stp>[Macro RPRR.xlsx]EU countries!R21C19</stp>
        <tr r="S21" s="11"/>
      </tp>
      <tp>
        <v>-2.59</v>
        <stp/>
        <stp>##V3_BDPV12</stp>
        <stp>ehcagb INDEX</stp>
        <stp>PX LAST</stp>
        <stp>[Macro RPRR.xlsx]EU countries!R19C19</stp>
        <tr r="S19" s="11"/>
      </tp>
      <tp>
        <v>-5.91</v>
        <stp/>
        <stp>##V3_BDPV12</stp>
        <stp>ehcagr INDEX</stp>
        <stp>PX LAST</stp>
        <stp>[Macro RPRR.xlsx]EU countries!R12C19</stp>
        <tr r="S12" s="11"/>
      </tp>
      <tp>
        <v>0.94</v>
        <stp/>
        <stp>##V3_BDPV12</stp>
        <stp>ehcaes INDEX</stp>
        <stp>PX LAST</stp>
        <stp>[Macro RPRR.xlsx]EU countries!R10C19</stp>
        <tr r="S10" s="11"/>
      </tp>
      <tp>
        <v>9.3000000000000007</v>
        <stp/>
        <stp>##V3_BDPV12</stp>
        <stp>ehcach INDEX</stp>
        <stp>PX LAST</stp>
        <stp>[Macro RPRR.xlsx]EU countries!R18C19</stp>
        <tr r="S18" s="11"/>
      </tp>
      <tp>
        <v>1.77</v>
        <stp/>
        <stp>##V3_BDPV12</stp>
        <stp>ehcacn INDEX</stp>
        <stp>PX LAST</stp>
        <stp>[Macro RPRR.xlsx]EU countries!R22C19</stp>
        <tr r="S22" s="11"/>
      </tp>
      <tp>
        <v>-3.42</v>
        <stp/>
        <stp>##V3_BDPV12</stp>
        <stp>ehcaus INDEX</stp>
        <stp>PX LAST</stp>
        <stp>[Macro RPRR.xlsx]EU countries!R20C19</stp>
        <tr r="S20" s="11"/>
      </tp>
      <tp>
        <v>-1.1400000000000001</v>
        <stp/>
        <stp>##V3_BDPV12</stp>
        <stp>ehcapt INDEX</stp>
        <stp>PX LAST</stp>
        <stp>[Macro RPRR.xlsx]EU countries!R13C19</stp>
        <tr r="S13" s="11"/>
      </tp>
      <tp t="s">
        <v>Industrials</v>
        <stp/>
        <stp>##V3_BDPV12</stp>
        <stp>7012 JT Equity</stp>
        <stp>gics sector name</stp>
        <stp>[Macro RPRR.xlsx]monitor!R57C39</stp>
        <tr r="AM57" s="10"/>
      </tp>
      <tp t="s">
        <v>Industrials</v>
        <stp/>
        <stp>##V3_BDPV12</stp>
        <stp>7013 JT Equity</stp>
        <stp>gics sector name</stp>
        <stp>[Macro RPRR.xlsx]monitor!R53C39</stp>
        <tr r="AM53" s="10"/>
      </tp>
      <tp t="s">
        <v>Health Care</v>
        <stp/>
        <stp>##V3_BDPV12</stp>
        <stp>7733 JT Equity</stp>
        <stp>gics sector name</stp>
        <stp>[Macro RPRR.xlsx]monitor!R92C39</stp>
        <tr r="AM92" s="10"/>
      </tp>
      <tp>
        <v>-4.04</v>
        <stp/>
        <stp>##V3_BDPV12</stp>
        <stp>CAC FP EQUITY</stp>
        <stp>MF_tot_1M</stp>
        <stp>[Macro RPRR.xlsx]flows!R23C11</stp>
        <tr r="K23" s="12"/>
      </tp>
      <tp>
        <v>-3.6550000000000002</v>
        <stp/>
        <stp>##V3_BDPV12</stp>
        <stp>gggb10 index</stp>
        <stp>chg net 5yr</stp>
        <stp>[Macro RPRR.xlsx]monitor!R24C7</stp>
        <tr r="G24" s="10"/>
      </tp>
      <tp>
        <v>2.0830000000000002</v>
        <stp/>
        <stp>##V3_BDPV12</stp>
        <stp>gggb10 index</stp>
        <stp>chg net 1yr</stp>
        <stp>[Macro RPRR.xlsx]monitor!R24C6</stp>
        <tr r="F24" s="10"/>
      </tp>
      <tp>
        <v>0.17799999999999999</v>
        <stp/>
        <stp>##V3_BDPV12</stp>
        <stp>gjgb10 index</stp>
        <stp>chg net 1yr</stp>
        <stp>[Macro RPRR.xlsx]monitor!R14C6</stp>
        <tr r="F14" s="10"/>
      </tp>
      <tp>
        <v>0.23400000000000001</v>
        <stp/>
        <stp>##V3_BDPV12</stp>
        <stp>gjgb10 index</stp>
        <stp>chg net 5yr</stp>
        <stp>[Macro RPRR.xlsx]monitor!R14C7</stp>
        <tr r="G14" s="10"/>
      </tp>
      <tp>
        <v>-13.35575</v>
        <stp/>
        <stp>##V3_BDPV12</stp>
        <stp>5802 JT Equity</stp>
        <stp>chg PCt 1yr</stp>
        <stp>[Macro RPRR.xlsx]monitor!R107C38</stp>
        <tr r="AL107" s="10"/>
      </tp>
      <tp>
        <v>10.314959999999999</v>
        <stp/>
        <stp>##V3_BDPV12</stp>
        <stp>5901 JT Equity</stp>
        <stp>chg PCt 1yr</stp>
        <stp>[Macro RPRR.xlsx]monitor!R205C38</stp>
        <tr r="AL205" s="10"/>
      </tp>
      <tp>
        <v>74.314099999999996</v>
        <stp/>
        <stp>##V3_BDPV12</stp>
        <stp>5541 JT Equity</stp>
        <stp>chg PCt 1yr</stp>
        <stp>[Macro RPRR.xlsx]monitor!R116C38</stp>
        <tr r="AL116" s="10"/>
      </tp>
      <tp>
        <v>-20.757429999999999</v>
        <stp/>
        <stp>##V3_BDPV12</stp>
        <stp>5703 JT Equity</stp>
        <stp>chg PCt 1yr</stp>
        <stp>[Macro RPRR.xlsx]monitor!R131C38</stp>
        <tr r="AL131" s="10"/>
      </tp>
      <tp>
        <v>-14.140829999999999</v>
        <stp/>
        <stp>##V3_BDPV12</stp>
        <stp>5711 JT Equity</stp>
        <stp>chg PCt 1yr</stp>
        <stp>[Macro RPRR.xlsx]monitor!R165C38</stp>
        <tr r="AL165" s="10"/>
      </tp>
      <tp>
        <v>0.80200000000000005</v>
        <stp/>
        <stp>##V3_BDPV12</stp>
        <stp>gind10 index</stp>
        <stp>chg net 6m</stp>
        <stp>[Macro RPRR.xlsx]monitor!R23C5</stp>
        <tr r="E23" s="10"/>
      </tp>
      <tp>
        <v>0.33900000000000002</v>
        <stp/>
        <stp>##V3_BDPV12</stp>
        <stp>gind10 index</stp>
        <stp>chg net 1m</stp>
        <stp>[Macro RPRR.xlsx]monitor!R23C4</stp>
        <tr r="D23" s="10"/>
      </tp>
      <tp>
        <v>-17.133199999999999</v>
        <stp/>
        <stp>##V3_BDPV12</stp>
        <stp>5101 JT Equity</stp>
        <stp>chg PCt 1yr</stp>
        <stp>[Macro RPRR.xlsx]monitor!R124C38</stp>
        <tr r="AL124" s="10"/>
      </tp>
      <tp>
        <v>-2.191662</v>
        <stp/>
        <stp>##V3_BDPV12</stp>
        <stp>5020 JT Equity</stp>
        <stp>chg PCt 1yr</stp>
        <stp>[Macro RPRR.xlsx]monitor!R120C38</stp>
        <tr r="AL120" s="10"/>
      </tp>
      <tp>
        <v>31.238099999999999</v>
        <stp/>
        <stp>##V3_BDPV12</stp>
        <stp>5019 JT Equity</stp>
        <stp>chg PCt 1yr</stp>
        <stp>[Macro RPRR.xlsx]monitor!R167C38</stp>
        <tr r="AL167" s="10"/>
      </tp>
      <tp>
        <v>-10.75103</v>
        <stp/>
        <stp>##V3_BDPV12</stp>
        <stp>5333 JT Equity</stp>
        <stp>chg PCt 1yr</stp>
        <stp>[Macro RPRR.xlsx]monitor!R114C38</stp>
        <tr r="AL114" s="10"/>
      </tp>
      <tp>
        <v>10.041840000000001</v>
        <stp/>
        <stp>##V3_BDPV12</stp>
        <stp>5232 JT Equity</stp>
        <stp>chg PCt 1yr</stp>
        <stp>[Macro RPRR.xlsx]monitor!R194C38</stp>
        <tr r="AL194" s="10"/>
      </tp>
      <tp t="s">
        <v>Electronics</v>
        <stp/>
        <stp>##V3_BDPV12</stp>
        <stp>6479 JT Equity</stp>
        <stp>industry group</stp>
        <stp>[Macro RPRR.xlsx]monitor!R42C40</stp>
        <tr r="AN42" s="10"/>
      </tp>
      <tp>
        <v>1.5</v>
        <stp/>
        <stp>##V3_BDPV12</stp>
        <stp>CNcpiyoy INDEX</stp>
        <stp>PX LAST</stp>
        <stp>[Macro RPRR.xlsx]EU countries!R27C15</stp>
        <tr r="O27" s="11"/>
      </tp>
      <tp t="s">
        <v>Auto Parts&amp;Equipment</v>
        <stp/>
        <stp>##V3_BDPV12</stp>
        <stp>6473 JT Equity</stp>
        <stp>industry group</stp>
        <stp>[Macro RPRR.xlsx]monitor!R95C40</stp>
        <tr r="AN95" s="10"/>
      </tp>
      <tp t="s">
        <v>Metal Fabricate/Hardware</v>
        <stp/>
        <stp>##V3_BDPV12</stp>
        <stp>6472 JT Equity</stp>
        <stp>industry group</stp>
        <stp>[Macro RPRR.xlsx]monitor!R50C40</stp>
        <tr r="AN50" s="10"/>
      </tp>
      <tp t="s">
        <v>Leisure Time</v>
        <stp/>
        <stp>##V3_BDPV12</stp>
        <stp>7272 JT Equity</stp>
        <stp>industry group</stp>
        <stp>[Macro RPRR.xlsx]monitor!R16C40</stp>
        <tr r="AN16" s="10"/>
      </tp>
      <tp t="s">
        <v>Metal Fabricate/Hardware</v>
        <stp/>
        <stp>##V3_BDPV12</stp>
        <stp>6471 JT Equity</stp>
        <stp>industry group</stp>
        <stp>[Macro RPRR.xlsx]monitor!R79C40</stp>
        <tr r="AN79" s="10"/>
      </tp>
      <tp t="s">
        <v>Electronics</v>
        <stp/>
        <stp>##V3_BDPV12</stp>
        <stp>6976 JT Equity</stp>
        <stp>industry group</stp>
        <stp>[Macro RPRR.xlsx]monitor!R24C40</stp>
        <tr r="AN24" s="10"/>
      </tp>
      <tp t="s">
        <v>Electrical Compo&amp;Equip</v>
        <stp/>
        <stp>##V3_BDPV12</stp>
        <stp>6674 JT Equity</stp>
        <stp>industry group</stp>
        <stp>[Macro RPRR.xlsx]monitor!R18C40</stp>
        <tr r="AN18" s="10"/>
      </tp>
      <tp>
        <v>0.67120000000000002</v>
        <stp/>
        <stp>##V3_BDPV12</stp>
        <stp>micxru3M index</stp>
        <stp>CHG neT 1m</stp>
        <stp>[Macro RPRR.xlsx]eco data!R36C24</stp>
        <tr r="X36" s="8"/>
        <tr r="X36" s="8"/>
      </tp>
      <tp>
        <v>4.5999999999999996</v>
        <stp/>
        <stp>##V3_BDPV12</stp>
        <stp>gdp dyoy index</stp>
        <stp>CHG neT 1yr</stp>
        <stp>[Macro RPRR.xlsx]eco data!R4C7</stp>
        <tr r="G4" s="8"/>
        <tr r="G4" s="8"/>
      </tp>
      <tp>
        <v>0.68</v>
        <stp/>
        <stp>##V3_BDPV12</stp>
        <stp>CSSMI SW EQUITY</stp>
        <stp>MF_tot_1M</stp>
        <stp>[Macro RPRR.xlsx]flows!R24C11</stp>
        <tr r="K24" s="12"/>
      </tp>
      <tp>
        <v>1.143</v>
        <stp/>
        <stp>##V3_BDPV12</stp>
        <stp>gvsk10y index</stp>
        <stp>chg net 5yr</stp>
        <stp>[Macro RPRR.xlsx]monitor!R17C7</stp>
        <tr r="G17" s="10"/>
      </tp>
      <tp>
        <v>1.3049999999999999</v>
        <stp/>
        <stp>##V3_BDPV12</stp>
        <stp>gvsk10y index</stp>
        <stp>chg net 1yr</stp>
        <stp>[Macro RPRR.xlsx]monitor!R17C6</stp>
        <tr r="F17" s="10"/>
      </tp>
      <tp>
        <v>-17.546849999999999</v>
        <stp/>
        <stp>##V3_BDPV12</stp>
        <stp>4902 JT Equity</stp>
        <stp>chg PCt 1yr</stp>
        <stp>[Macro RPRR.xlsx]monitor!R127C38</stp>
        <tr r="AL127" s="10"/>
      </tp>
      <tp>
        <v>4.1377360000000003</v>
        <stp/>
        <stp>##V3_BDPV12</stp>
        <stp>4901 JT Equity</stp>
        <stp>chg PCt 1yr</stp>
        <stp>[Macro RPRR.xlsx]monitor!R147C38</stp>
        <tr r="AL147" s="10"/>
      </tp>
      <tp>
        <v>-19.92193</v>
        <stp/>
        <stp>##V3_BDPV12</stp>
        <stp>4911 JT Equity</stp>
        <stp>chg PCt 1yr</stp>
        <stp>[Macro RPRR.xlsx]monitor!R177C38</stp>
        <tr r="AL177" s="10"/>
      </tp>
      <tp>
        <v>-5.6289879999999997</v>
        <stp/>
        <stp>##V3_BDPV12</stp>
        <stp>4519 JT Equity</stp>
        <stp>chg PCt 1yr</stp>
        <stp>[Macro RPRR.xlsx]monitor!R188C38</stp>
        <tr r="AL188" s="10"/>
      </tp>
      <tp>
        <v>22.533470000000001</v>
        <stp/>
        <stp>##V3_BDPV12</stp>
        <stp>4507 JT Equity</stp>
        <stp>chg PCt 1yr</stp>
        <stp>[Macro RPRR.xlsx]monitor!R182C38</stp>
        <tr r="AL182" s="10"/>
      </tp>
      <tp>
        <v>-5.7357209999999998</v>
        <stp/>
        <stp>##V3_BDPV12</stp>
        <stp>4543 JT Equity</stp>
        <stp>chg PCt 1yr</stp>
        <stp>[Macro RPRR.xlsx]monitor!R190C38</stp>
        <tr r="AL190" s="10"/>
      </tp>
      <tp>
        <v>-1.5352410000000001</v>
        <stp/>
        <stp>##V3_BDPV12</stp>
        <stp>4578 JT Equity</stp>
        <stp>chg PCt 1yr</stp>
        <stp>[Macro RPRR.xlsx]monitor!R183C38</stp>
        <tr r="AL183" s="10"/>
      </tp>
      <tp>
        <v>-38.801090000000002</v>
        <stp/>
        <stp>##V3_BDPV12</stp>
        <stp>4506 JT Equity</stp>
        <stp>chg PCt 1yr</stp>
        <stp>[Macro RPRR.xlsx]monitor!R121C38</stp>
        <tr r="AL121" s="10"/>
      </tp>
      <tp>
        <v>-3.1620550000000001</v>
        <stp/>
        <stp>##V3_BDPV12</stp>
        <stp>4568 JT Equity</stp>
        <stp>chg PCt 1yr</stp>
        <stp>[Macro RPRR.xlsx]monitor!R137C38</stp>
        <tr r="AL137" s="10"/>
      </tp>
      <tp>
        <v>0.80906149999999999</v>
        <stp/>
        <stp>##V3_BDPV12</stp>
        <stp>4502 JT Equity</stp>
        <stp>chg PCt 1yr</stp>
        <stp>[Macro RPRR.xlsx]monitor!R161C38</stp>
        <tr r="AL161" s="10"/>
      </tp>
      <tp>
        <v>33.206829999999997</v>
        <stp/>
        <stp>##V3_BDPV12</stp>
        <stp>4704 JT Equity</stp>
        <stp>chg PCt 1yr</stp>
        <stp>[Macro RPRR.xlsx]monitor!R203C38</stp>
        <tr r="AL203" s="10"/>
      </tp>
      <tp>
        <v>-27.088000000000001</v>
        <stp/>
        <stp>##V3_BDPV12</stp>
        <stp>4452 JT Equity</stp>
        <stp>chg PCt 1yr</stp>
        <stp>[Macro RPRR.xlsx]monitor!R224C38</stp>
        <tr r="AL224" s="10"/>
      </tp>
      <tp>
        <v>0.23400000000000001</v>
        <stp/>
        <stp>##V3_BDPV12</stp>
        <stp>gggb10 index</stp>
        <stp>chg net 1m</stp>
        <stp>[Macro RPRR.xlsx]monitor!R24C4</stp>
        <tr r="D24" s="10"/>
      </tp>
      <tp>
        <v>1.9430000000000001</v>
        <stp/>
        <stp>##V3_BDPV12</stp>
        <stp>gggb10 index</stp>
        <stp>chg net 6m</stp>
        <stp>[Macro RPRR.xlsx]monitor!R24C5</stp>
        <tr r="E24" s="10"/>
      </tp>
      <tp>
        <v>0.153</v>
        <stp/>
        <stp>##V3_BDPV12</stp>
        <stp>gjgb10 index</stp>
        <stp>chg net 6m</stp>
        <stp>[Macro RPRR.xlsx]monitor!R14C5</stp>
        <tr r="E14" s="10"/>
      </tp>
      <tp>
        <v>3.3000000000000002E-2</v>
        <stp/>
        <stp>##V3_BDPV12</stp>
        <stp>gjgb10 index</stp>
        <stp>chg net 1m</stp>
        <stp>[Macro RPRR.xlsx]monitor!R14C4</stp>
        <tr r="D14" s="10"/>
      </tp>
      <tp>
        <v>23.203589999999998</v>
        <stp/>
        <stp>##V3_BDPV12</stp>
        <stp>4503 JT Equity</stp>
        <stp>chg PCt 1yr</stp>
        <stp>[Macro RPRR.xlsx]monitor!R206C38</stp>
        <tr r="AL206" s="10"/>
      </tp>
      <tp>
        <v>-22.57225</v>
        <stp/>
        <stp>##V3_BDPV12</stp>
        <stp>4523 JT Equity</stp>
        <stp>chg PCt 1yr</stp>
        <stp>[Macro RPRR.xlsx]monitor!R216C38</stp>
        <tr r="AL216" s="10"/>
      </tp>
      <tp>
        <v>-14.070180000000001</v>
        <stp/>
        <stp>##V3_BDPV12</stp>
        <stp>4631 JT Equity</stp>
        <stp>chg PCt 1yr</stp>
        <stp>[Macro RPRR.xlsx]monitor!R169C38</stp>
        <tr r="AL169" s="10"/>
      </tp>
      <tp>
        <v>-4.3225600000000002</v>
        <stp/>
        <stp>##V3_BDPV12</stp>
        <stp>4188 JT Equity</stp>
        <stp>chg PCt 1yr</stp>
        <stp>[Macro RPRR.xlsx]monitor!R144C38</stp>
        <tr r="AL144" s="10"/>
      </tp>
      <tp>
        <v>-18.892219999999998</v>
        <stp/>
        <stp>##V3_BDPV12</stp>
        <stp>4151 JT Equity</stp>
        <stp>chg PCt 1yr</stp>
        <stp>[Macro RPRR.xlsx]monitor!R133C38</stp>
        <tr r="AL133" s="10"/>
      </tp>
      <tp>
        <v>17.875209999999999</v>
        <stp/>
        <stp>##V3_BDPV12</stp>
        <stp>4021 JT Equity</stp>
        <stp>chg PCt 1yr</stp>
        <stp>[Macro RPRR.xlsx]monitor!R101C38</stp>
        <tr r="AL101" s="10"/>
      </tp>
      <tp>
        <v>-39.683680000000003</v>
        <stp/>
        <stp>##V3_BDPV12</stp>
        <stp>4043 JT Equity</stp>
        <stp>chg PCt 1yr</stp>
        <stp>[Macro RPRR.xlsx]monitor!R129C38</stp>
        <tr r="AL129" s="10"/>
      </tp>
      <tp>
        <v>-11.754390000000001</v>
        <stp/>
        <stp>##V3_BDPV12</stp>
        <stp>4208 JT Equity</stp>
        <stp>chg PCt 1yr</stp>
        <stp>[Macro RPRR.xlsx]monitor!R110C38</stp>
        <tr r="AL110" s="10"/>
      </tp>
      <tp t="s">
        <v>Auto Manufacturers</v>
        <stp/>
        <stp>##V3_BDPV12</stp>
        <stp>7269 JT Equity</stp>
        <stp>industry group</stp>
        <stp>[Macro RPRR.xlsx]monitor!R46C40</stp>
        <tr r="AN46" s="10"/>
      </tp>
      <tp>
        <v>-5.3196669999999999</v>
        <stp/>
        <stp>##V3_BDPV12</stp>
        <stp>NZSE50FG index</stp>
        <stp>chg PCt 1yr</stp>
        <stp>[Macro RPRR.xlsx]monitor!R16C16</stp>
        <tr r="P16" s="10"/>
      </tp>
      <tp t="s">
        <v>Chemicals</v>
        <stp/>
        <stp>##V3_BDPV12</stp>
        <stp>4063 JT Equity</stp>
        <stp>industry group</stp>
        <stp>[Macro RPRR.xlsx]monitor!R49C40</stp>
        <tr r="AN49" s="10"/>
      </tp>
      <tp t="s">
        <v>Engineering&amp;Construction</v>
        <stp/>
        <stp>##V3_BDPV12</stp>
        <stp>1963 JT Equity</stp>
        <stp>industry group</stp>
        <stp>[Macro RPRR.xlsx]monitor!R82C40</stp>
        <tr r="AN82" s="10"/>
      </tp>
      <tp t="s">
        <v>Transportation</v>
        <stp/>
        <stp>##V3_BDPV12</stp>
        <stp>9062 JT Equity</stp>
        <stp>industry group</stp>
        <stp>[Macro RPRR.xlsx]monitor!R86C40</stp>
        <tr r="AN86" s="10"/>
      </tp>
      <tp t="s">
        <v>Electronics</v>
        <stp/>
        <stp>##V3_BDPV12</stp>
        <stp>6762 JT Equity</stp>
        <stp>industry group</stp>
        <stp>[Macro RPRR.xlsx]monitor!R37C40</stp>
        <tr r="AN37" s="10"/>
      </tp>
      <tp t="s">
        <v>Chemicals</v>
        <stp/>
        <stp>##V3_BDPV12</stp>
        <stp>4061 JT Equity</stp>
        <stp>industry group</stp>
        <stp>[Macro RPRR.xlsx]monitor!R23C40</stp>
        <tr r="AN23" s="10"/>
      </tp>
      <tp t="s">
        <v>Machinery-Diversified</v>
        <stp/>
        <stp>##V3_BDPV12</stp>
        <stp>6361 JT Equity</stp>
        <stp>industry group</stp>
        <stp>[Macro RPRR.xlsx]monitor!R11C40</stp>
        <tr r="AN11" s="10"/>
      </tp>
      <tp t="s">
        <v>Auto Manufacturers</v>
        <stp/>
        <stp>##V3_BDPV12</stp>
        <stp>7261 JT Equity</stp>
        <stp>industry group</stp>
        <stp>[Macro RPRR.xlsx]monitor!R99C40</stp>
        <tr r="AN99" s="10"/>
      </tp>
      <tp t="s">
        <v>Building Materials</v>
        <stp/>
        <stp>##V3_BDPV12</stp>
        <stp>6367 JT Equity</stp>
        <stp>industry group</stp>
        <stp>[Macro RPRR.xlsx]monitor!R67C40</stp>
        <tr r="AN67" s="10"/>
      </tp>
      <tp t="s">
        <v>Software</v>
        <stp/>
        <stp>##V3_BDPV12</stp>
        <stp>9766 JT Equity</stp>
        <stp>industry group</stp>
        <stp>[Macro RPRR.xlsx]monitor!R19C40</stp>
        <tr r="AN19" s="10"/>
      </tp>
      <tp t="s">
        <v>Transportation</v>
        <stp/>
        <stp>##V3_BDPV12</stp>
        <stp>9064 JT Equity</stp>
        <stp>industry group</stp>
        <stp>[Macro RPRR.xlsx]monitor!R56C40</stp>
        <tr r="AN56" s="10"/>
      </tp>
      <tp t="s">
        <v>Industrials</v>
        <stp/>
        <stp>##V3_BDPV12</stp>
        <stp>1963 JT Equity</stp>
        <stp>gics sector name</stp>
        <stp>[Macro RPRR.xlsx]monitor!R82C39</stp>
        <tr r="AM82" s="10"/>
      </tp>
      <tp>
        <v>14.226136675116267</v>
        <stp/>
        <stp>##V3_BDPV12</stp>
        <stp>S5tels INDEX</stp>
        <stp>best pe ratio</stp>
        <stp>[Macro RPRR.xlsx]monitor!R44C4</stp>
        <stp>Best_Fperiod_override=2gy</stp>
        <tr r="D44" s="10"/>
      </tp>
      <tp>
        <v>12.700390867733745</v>
        <stp/>
        <stp>##V3_BDPV12</stp>
        <stp>S5tels INDEX</stp>
        <stp>best pe ratio</stp>
        <stp>[Macro RPRR.xlsx]monitor!R44C5</stp>
        <stp>Best_Fperiod_override=3gy</stp>
        <tr r="E44" s="10"/>
      </tp>
      <tp>
        <v>-3.1994980000000002</v>
        <stp/>
        <stp>##V3_BDPV12</stp>
        <stp>S5cond INDEX</stp>
        <stp>chg PCt 1m</stp>
        <stp>[Macro RPRR.xlsx]monitor!R39C6</stp>
        <tr r="F39" s="10"/>
      </tp>
      <tp>
        <v>-7.2313400000000003</v>
        <stp/>
        <stp>##V3_BDPV12</stp>
        <stp>S5cond INDEX</stp>
        <stp>chg PCt 6m</stp>
        <stp>[Macro RPRR.xlsx]monitor!R39C7</stp>
        <tr r="G39" s="10"/>
      </tp>
      <tp>
        <v>2.4</v>
        <stp/>
        <stp>##V3_BDPV12</stp>
        <stp>gdp cqoq index</stp>
        <stp>CHG neT 1yr</stp>
        <stp>[Macro RPRR.xlsx]eco data!R5C7</stp>
        <tr r="G5" s="8"/>
        <tr r="G5" s="8"/>
      </tp>
      <tp>
        <v>37.19</v>
        <stp/>
        <stp>##V3_BDPV12</stp>
        <stp>INDA US EQUITY</stp>
        <stp>MF_tot_1W</stp>
        <stp>[Macro RPRR.xlsx]flows!R38C10</stp>
        <tr r="J38" s="12"/>
      </tp>
      <tp>
        <v>2.7625000000000002</v>
        <stp/>
        <stp>##V3_BDPV12</stp>
        <stp>micxru10y index</stp>
        <stp>CHG neT 1yr</stp>
        <stp>[Macro RPRR.xlsx]eco data!R39C25</stp>
        <tr r="Y39" s="8"/>
        <tr r="Y39" s="8"/>
      </tp>
      <tp>
        <v>13.043480000000001</v>
        <stp/>
        <stp>##V3_BDPV12</stp>
        <stp>7911 JT Equity</stp>
        <stp>chg PCt 1yr</stp>
        <stp>[Macro RPRR.xlsx]monitor!R184C38</stp>
        <tr r="AL184" s="10"/>
      </tp>
      <tp>
        <v>-14.681889999999999</v>
        <stp/>
        <stp>##V3_BDPV12</stp>
        <stp>7951 JT Equity</stp>
        <stp>chg PCt 1yr</stp>
        <stp>[Macro RPRR.xlsx]monitor!R112C38</stp>
        <tr r="AL112" s="10"/>
      </tp>
      <tp>
        <v>11.388920000000001</v>
        <stp/>
        <stp>##V3_BDPV12</stp>
        <stp>7832 JT Equity</stp>
        <stp>chg PCt 1yr</stp>
        <stp>[Macro RPRR.xlsx]monitor!R106C38</stp>
        <tr r="AL106" s="10"/>
      </tp>
      <tp>
        <v>20.16995</v>
        <stp/>
        <stp>##V3_BDPV12</stp>
        <stp>7912 JT Equity</stp>
        <stp>chg PCt 1yr</stp>
        <stp>[Macro RPRR.xlsx]monitor!R217C38</stp>
        <tr r="AL217" s="10"/>
      </tp>
      <tp>
        <v>19.62875</v>
        <stp/>
        <stp>##V3_BDPV12</stp>
        <stp>7751 JT Equity</stp>
        <stp>chg PCt 1yr</stp>
        <stp>[Macro RPRR.xlsx]monitor!R202C38</stp>
        <tr r="AL202" s="10"/>
      </tp>
      <tp>
        <v>38.71866</v>
        <stp/>
        <stp>##V3_BDPV12</stp>
        <stp>7762 JT Equity</stp>
        <stp>chg PCt 1yr</stp>
        <stp>[Macro RPRR.xlsx]monitor!R208C38</stp>
        <tr r="AL208" s="10"/>
      </tp>
      <tp>
        <v>49.800400000000003</v>
        <stp/>
        <stp>##V3_BDPV12</stp>
        <stp>7731 JT Equity</stp>
        <stp>chg PCt 1yr</stp>
        <stp>[Macro RPRR.xlsx]monitor!R189C38</stp>
        <tr r="AL189" s="10"/>
      </tp>
      <tp>
        <v>-18.473549999999999</v>
        <stp/>
        <stp>##V3_BDPV12</stp>
        <stp>7752 JT Equity</stp>
        <stp>chg PCt 1yr</stp>
        <stp>[Macro RPRR.xlsx]monitor!R103C38</stp>
        <tr r="AL103" s="10"/>
      </tp>
      <tp>
        <v>0.28899999999999998</v>
        <stp/>
        <stp>##V3_BDPV12</stp>
        <stp>gukg10 index</stp>
        <stp>chg net 1m</stp>
        <stp>[Macro RPRR.xlsx]monitor!R12C4</stp>
        <tr r="D12" s="10"/>
      </tp>
      <tp>
        <v>0.85199999999999998</v>
        <stp/>
        <stp>##V3_BDPV12</stp>
        <stp>gukg10 index</stp>
        <stp>chg net 6m</stp>
        <stp>[Macro RPRR.xlsx]monitor!R12C5</stp>
        <tr r="E12" s="10"/>
      </tp>
      <tp>
        <v>16.385539999999999</v>
        <stp/>
        <stp>##V3_BDPV12</stp>
        <stp>7186 JT Equity</stp>
        <stp>chg PCt 1yr</stp>
        <stp>[Macro RPRR.xlsx]monitor!R126C38</stp>
        <tr r="AL126" s="10"/>
      </tp>
      <tp>
        <v>11.14983</v>
        <stp/>
        <stp>##V3_BDPV12</stp>
        <stp>7211 JT Equity</stp>
        <stp>chg PCt 1yr</stp>
        <stp>[Macro RPRR.xlsx]monitor!R212C38</stp>
        <tr r="AL212" s="10"/>
      </tp>
      <tp>
        <v>-7.0301289999999996</v>
        <stp/>
        <stp>##V3_BDPV12</stp>
        <stp>7270 JT Equity</stp>
        <stp>chg PCt 1yr</stp>
        <stp>[Macro RPRR.xlsx]monitor!R207C38</stp>
        <tr r="AL207" s="10"/>
      </tp>
      <tp>
        <v>-28.823530000000002</v>
        <stp/>
        <stp>##V3_BDPV12</stp>
        <stp>7003 JT Equity</stp>
        <stp>chg PCt 1yr</stp>
        <stp>[Macro RPRR.xlsx]monitor!R196C38</stp>
        <tr r="AL196" s="10"/>
      </tp>
      <tp>
        <v>37.853810000000003</v>
        <stp/>
        <stp>##V3_BDPV12</stp>
        <stp>7011 JT Equity</stp>
        <stp>chg PCt 1yr</stp>
        <stp>[Macro RPRR.xlsx]monitor!R152C38</stp>
        <tr r="AL152" s="10"/>
      </tp>
      <tp>
        <v>3.9052889999999998</v>
        <stp/>
        <stp>##V3_BDPV12</stp>
        <stp>7267 JT Equity</stp>
        <stp>chg PCt 1yr</stp>
        <stp>[Macro RPRR.xlsx]monitor!R135C38</stp>
        <tr r="AL135" s="10"/>
      </tp>
      <tp>
        <v>32.050669999999997</v>
        <stp/>
        <stp>##V3_BDPV12</stp>
        <stp>7203 JT Equity</stp>
        <stp>chg PCt 1yr</stp>
        <stp>[Macro RPRR.xlsx]monitor!R155C38</stp>
        <tr r="AL155" s="10"/>
      </tp>
      <tp t="s">
        <v>Telecommunications</v>
        <stp/>
        <stp>##V3_BDPV12</stp>
        <stp>BT/A LN Equity</stp>
        <stp>industry group</stp>
        <stp>[Macro RPRR.xlsx]monitor!R57C34</stp>
        <tr r="AH57" s="10"/>
      </tp>
      <tp t="s">
        <v>Software</v>
        <stp/>
        <stp>##V3_BDPV12</stp>
        <stp>3659 JT Equity</stp>
        <stp>industry group</stp>
        <stp>[Macro RPRR.xlsx]monitor!R22C40</stp>
        <tr r="AN22" s="10"/>
      </tp>
      <tp t="s">
        <v>Home Furnishings</v>
        <stp/>
        <stp>##V3_BDPV12</stp>
        <stp>6758 JT Equity</stp>
        <stp>industry group</stp>
        <stp>[Macro RPRR.xlsx]monitor!R45C40</stp>
        <tr r="AN45" s="10"/>
      </tp>
      <tp t="s">
        <v>Home Furnishings</v>
        <stp/>
        <stp>##V3_BDPV12</stp>
        <stp>6753 JT Equity</stp>
        <stp>industry group</stp>
        <stp>[Macro RPRR.xlsx]monitor!R62C40</stp>
        <tr r="AN62" s="10"/>
      </tp>
      <tp t="s">
        <v>Home Furnishings</v>
        <stp/>
        <stp>##V3_BDPV12</stp>
        <stp>6752 JT Equity</stp>
        <stp>industry group</stp>
        <stp>[Macro RPRR.xlsx]monitor!R59C40</stp>
        <tr r="AN59" s="10"/>
      </tp>
      <tp t="s">
        <v>Electrical Compo&amp;Equip</v>
        <stp/>
        <stp>##V3_BDPV12</stp>
        <stp>6952 JT Equity</stp>
        <stp>industry group</stp>
        <stp>[Macro RPRR.xlsx]monitor!R31C40</stp>
        <tr r="AN31" s="10"/>
      </tp>
      <tp t="s">
        <v>Internet</v>
        <stp/>
        <stp>##V3_BDPV12</stp>
        <stp>4751 JT Equity</stp>
        <stp>industry group</stp>
        <stp>[Macro RPRR.xlsx]monitor!R26C40</stp>
        <tr r="AN26" s="10"/>
      </tp>
      <tp t="s">
        <v>Internet</v>
        <stp/>
        <stp>##V3_BDPV12</stp>
        <stp>4755 JT Equity</stp>
        <stp>industry group</stp>
        <stp>[Macro RPRR.xlsx]monitor!R81C40</stp>
        <tr r="AN81" s="10"/>
      </tp>
      <tp t="s">
        <v>Machinery-Diversified</v>
        <stp/>
        <stp>##V3_BDPV12</stp>
        <stp>6954 JT Equity</stp>
        <stp>industry group</stp>
        <stp>[Macro RPRR.xlsx]monitor!R43C40</stp>
        <tr r="AN43" s="10"/>
      </tp>
      <tp>
        <v>1.8</v>
        <stp/>
        <stp>##V3_BDPV12</stp>
        <stp>gdpb95yy index</stp>
        <stp>px last</stp>
        <stp>[Macro RPRR.xlsx]eco data!R5C22</stp>
        <tr r="V5" s="8"/>
      </tp>
      <tp t="s">
        <v>Consumer Staples</v>
        <stp/>
        <stp>##V3_BDPV12</stp>
        <stp>2531 JT Equity</stp>
        <stp>gics sector name</stp>
        <stp>[Macro RPRR.xlsx]monitor!R27C39</stp>
        <tr r="AM27" s="10"/>
      </tp>
      <tp t="s">
        <v>Consumer Staples</v>
        <stp/>
        <stp>##V3_BDPV12</stp>
        <stp>2502 JT Equity</stp>
        <stp>gics sector name</stp>
        <stp>[Macro RPRR.xlsx]monitor!R36C39</stp>
        <tr r="AM36" s="10"/>
      </tp>
      <tp t="s">
        <v>Communication Services</v>
        <stp/>
        <stp>##V3_BDPV12</stp>
        <stp>2432 JT Equity</stp>
        <stp>gics sector name</stp>
        <stp>[Macro RPRR.xlsx]monitor!R44C39</stp>
        <tr r="AM44" s="10"/>
      </tp>
      <tp>
        <v>27.083157652421239</v>
        <stp/>
        <stp>##V3_BDPV12</stp>
        <stp>S5cond INDEX</stp>
        <stp>best pe ratio</stp>
        <stp>[Macro RPRR.xlsx]monitor!R39C3</stp>
        <tr r="C39" s="10"/>
      </tp>
      <tp>
        <v>1.0649999999999999</v>
        <stp/>
        <stp>##V3_BDPV12</stp>
        <stp>GSPG4YR index</stp>
        <stp>LAST TRADE</stp>
        <stp>[Macro RPRR.xlsx]carry+rd!R6C23</stp>
        <tr r="W6" s="1"/>
      </tp>
      <tp>
        <v>1.266</v>
        <stp/>
        <stp>##V3_BDPV12</stp>
        <stp>GSPG5YR index</stp>
        <stp>LAST TRADE</stp>
        <stp>[Macro RPRR.xlsx]carry+rd!R7C23</stp>
        <tr r="W7" s="1"/>
      </tp>
      <tp>
        <v>0.52300000000000002</v>
        <stp/>
        <stp>##V3_BDPV12</stp>
        <stp>GSPG2YR index</stp>
        <stp>LAST TRADE</stp>
        <stp>[Macro RPRR.xlsx]carry+rd!R4C23</stp>
        <tr r="W4" s="1"/>
      </tp>
      <tp>
        <v>0.91300000000000003</v>
        <stp/>
        <stp>##V3_BDPV12</stp>
        <stp>GSPG3YR index</stp>
        <stp>LAST TRADE</stp>
        <stp>[Macro RPRR.xlsx]carry+rd!R5C23</stp>
        <tr r="W5" s="1"/>
      </tp>
      <tp>
        <v>1.4690000000000001</v>
        <stp/>
        <stp>##V3_BDPV12</stp>
        <stp>GSPG7YR index</stp>
        <stp>LAST TRADE</stp>
        <stp>[Macro RPRR.xlsx]carry+rd!R8C23</stp>
        <tr r="W8" s="1"/>
      </tp>
      <tp>
        <v>0.995</v>
        <stp/>
        <stp>##V3_BDPV12</stp>
        <stp>GSPT4YR index</stp>
        <stp>LAST TRADE</stp>
        <stp>[Macro RPRR.xlsx]carry+rd!R6C26</stp>
        <tr r="Z6" s="1"/>
      </tp>
      <tp>
        <v>1.2529999999999999</v>
        <stp/>
        <stp>##V3_BDPV12</stp>
        <stp>GSPT5YR index</stp>
        <stp>LAST TRADE</stp>
        <stp>[Macro RPRR.xlsx]carry+rd!R7C26</stp>
        <tr r="Z7" s="1"/>
      </tp>
      <tp>
        <v>0.39400000000000002</v>
        <stp/>
        <stp>##V3_BDPV12</stp>
        <stp>GSPT2YR index</stp>
        <stp>LAST TRADE</stp>
        <stp>[Macro RPRR.xlsx]carry+rd!R4C26</stp>
        <tr r="Z4" s="1"/>
      </tp>
      <tp>
        <v>0.81200000000000006</v>
        <stp/>
        <stp>##V3_BDPV12</stp>
        <stp>GSPT3YR index</stp>
        <stp>LAST TRADE</stp>
        <stp>[Macro RPRR.xlsx]carry+rd!R5C26</stp>
        <tr r="Z5" s="1"/>
      </tp>
      <tp>
        <v>1.516</v>
        <stp/>
        <stp>##V3_BDPV12</stp>
        <stp>GSPT7YR index</stp>
        <stp>LAST TRADE</stp>
        <stp>[Macro RPRR.xlsx]carry+rd!R8C26</stp>
        <tr r="Z8" s="1"/>
      </tp>
      <tp t="s">
        <v>Consumer Staples</v>
        <stp/>
        <stp>##V3_BDPV12</stp>
        <stp>2801 JT Equity</stp>
        <stp>gics sector name</stp>
        <stp>[Macro RPRR.xlsx]monitor!R60C39</stp>
        <tr r="AM60" s="10"/>
      </tp>
      <tp>
        <v>-8.5536379999999994</v>
        <stp/>
        <stp>##V3_BDPV12</stp>
        <stp>DAX index</stp>
        <stp>chg PCt 6m</stp>
        <stp>[Macro RPRR.xlsx]monitor!R6C15</stp>
        <tr r="O6" s="10"/>
      </tp>
      <tp>
        <v>-1.7944199999999999</v>
        <stp/>
        <stp>##V3_BDPV12</stp>
        <stp>DAX index</stp>
        <stp>chg PCt 1m</stp>
        <stp>[Macro RPRR.xlsx]monitor!R6C14</stp>
        <tr r="N6" s="10"/>
      </tp>
      <tp>
        <v>3.5</v>
        <stp/>
        <stp>##V3_BDPV12</stp>
        <stp>AUcpiyoy INDEX</stp>
        <stp>PX LAST</stp>
        <stp>[Macro RPRR.xlsx]EU countries!R29C15</stp>
        <tr r="O29" s="11"/>
      </tp>
      <tp>
        <v>-3.4609429999999999</v>
        <stp/>
        <stp>##V3_BDPV12</stp>
        <stp>mwmftr index</stp>
        <stp>chg PCt 6m</stp>
        <stp>[Macro RPRR.xlsx]monitor!R83C5</stp>
        <tr r="E83" s="10"/>
      </tp>
      <tp>
        <v>-2.2699050000000001</v>
        <stp/>
        <stp>##V3_BDPV12</stp>
        <stp>mwmftr index</stp>
        <stp>chg PCt 1m</stp>
        <stp>[Macro RPRR.xlsx]monitor!R83C4</stp>
        <tr r="D83" s="10"/>
      </tp>
      <tp>
        <v>2150.88</v>
        <stp/>
        <stp>##V3_BDPV12</stp>
        <stp>ISF LN EQUITY</stp>
        <stp>MF_tot_1M</stp>
        <stp>[Macro RPRR.xlsx]flows!R22C11</stp>
        <tr r="K22" s="12"/>
      </tp>
      <tp>
        <v>0.24</v>
        <stp/>
        <stp>##V3_BDPV12</stp>
        <stp>IBGX LN EQUITY</stp>
        <stp>MF_tot_1M</stp>
        <stp>[Macro RPRR.xlsx]flows!R29C11</stp>
        <tr r="K29" s="12"/>
      </tp>
      <tp>
        <v>-3.067571</v>
        <stp/>
        <stp>##V3_BDPV12</stp>
        <stp>6971 JT Equity</stp>
        <stp>chg PCt 1yr</stp>
        <stp>[Macro RPRR.xlsx]monitor!R180C38</stp>
        <tr r="AL180" s="10"/>
      </tp>
      <tp>
        <v>-16.883120000000002</v>
        <stp/>
        <stp>##V3_BDPV12</stp>
        <stp>6503 JT Equity</stp>
        <stp>chg PCt 1yr</stp>
        <stp>[Macro RPRR.xlsx]monitor!R143C38</stp>
        <tr r="AL143" s="10"/>
      </tp>
      <tp>
        <v>-25.775020000000001</v>
        <stp/>
        <stp>##V3_BDPV12</stp>
        <stp>6703 JT Equity</stp>
        <stp>chg PCt 1yr</stp>
        <stp>[Macro RPRR.xlsx]monitor!R181C38</stp>
        <tr r="AL181" s="10"/>
      </tp>
      <tp>
        <v>-5.7498060000000004</v>
        <stp/>
        <stp>##V3_BDPV12</stp>
        <stp>6770 JT Equity</stp>
        <stp>chg PCt 1yr</stp>
        <stp>[Macro RPRR.xlsx]monitor!R111C38</stp>
        <tr r="AL111" s="10"/>
      </tp>
      <tp>
        <v>4017.9659999999999</v>
        <stp/>
        <stp>##V3_BDPV12</stp>
        <stp>SE15 LN EQUITY</stp>
        <stp>Fund Total Assets</stp>
        <stp>[Macro RPRR.xlsx]flows!R28C8</stp>
        <tr r="H28" s="12"/>
      </tp>
      <tp>
        <v>-0.14334820000000001</v>
        <stp/>
        <stp>##V3_BDPV12</stp>
        <stp>6178 JT Equity</stp>
        <stp>chg PCt 1yr</stp>
        <stp>[Macro RPRR.xlsx]monitor!R168C38</stp>
        <tr r="AL168" s="10"/>
      </tp>
      <tp>
        <v>-15.448499999999999</v>
        <stp/>
        <stp>##V3_BDPV12</stp>
        <stp>6113 JT Equity</stp>
        <stp>chg PCt 1yr</stp>
        <stp>[Macro RPRR.xlsx]monitor!R109C38</stp>
        <tr r="AL109" s="10"/>
      </tp>
      <tp>
        <v>-2.5897999999999999</v>
        <stp/>
        <stp>##V3_BDPV12</stp>
        <stp>micxru10y index</stp>
        <stp>CHG neT 1m</stp>
        <stp>[Macro RPRR.xlsx]eco data!R39C24</stp>
        <tr r="X39" s="8"/>
        <tr r="X39" s="8"/>
      </tp>
      <tp t="s">
        <v>Chemicals</v>
        <stp/>
        <stp>##V3_BDPV12</stp>
        <stp>4042 JT Equity</stp>
        <stp>industry group</stp>
        <stp>[Macro RPRR.xlsx]monitor!R51C40</stp>
        <tr r="AN51" s="10"/>
      </tp>
      <tp t="s">
        <v>Electronics</v>
        <stp/>
        <stp>##V3_BDPV12</stp>
        <stp>6841 JT Equity</stp>
        <stp>industry group</stp>
        <stp>[Macro RPRR.xlsx]monitor!R87C40</stp>
        <tr r="AN87" s="10"/>
      </tp>
      <tp t="s">
        <v>Machinery-Diversified</v>
        <stp/>
        <stp>##V3_BDPV12</stp>
        <stp>6645 JT Equity</stp>
        <stp>industry group</stp>
        <stp>[Macro RPRR.xlsx]monitor!R89C40</stp>
        <tr r="AN89" s="10"/>
      </tp>
      <tp>
        <v>21.908627046580413</v>
        <stp/>
        <stp>##V3_BDPV12</stp>
        <stp>S5cond INDEX</stp>
        <stp>best pe ratio</stp>
        <stp>[Macro RPRR.xlsx]monitor!R39C4</stp>
        <stp>Best_Fperiod_override=2gy</stp>
        <tr r="D39" s="10"/>
      </tp>
      <tp>
        <v>18.949735087271243</v>
        <stp/>
        <stp>##V3_BDPV12</stp>
        <stp>S5cond INDEX</stp>
        <stp>best pe ratio</stp>
        <stp>[Macro RPRR.xlsx]monitor!R39C5</stp>
        <stp>Best_Fperiod_override=3gy</stp>
        <tr r="E39" s="10"/>
      </tp>
      <tp t="s">
        <v>Consumer Discretionary</v>
        <stp/>
        <stp>##V3_BDPV12</stp>
        <stp>3103 JT Equity</stp>
        <stp>gics sector name</stp>
        <stp>[Macro RPRR.xlsx]monitor!R97C39</stp>
        <tr r="AM97" s="10"/>
      </tp>
      <tp t="s">
        <v>Communication Services</v>
        <stp/>
        <stp>##V3_BDPV12</stp>
        <stp>3659 JT Equity</stp>
        <stp>gics sector name</stp>
        <stp>[Macro RPRR.xlsx]monitor!R22C39</stp>
        <tr r="AM22" s="10"/>
      </tp>
      <tp>
        <v>20.521737758804829</v>
        <stp/>
        <stp>##V3_BDPV12</stp>
        <stp>S5indu INDEX</stp>
        <stp>best pe ratio</stp>
        <stp>[Macro RPRR.xlsx]monitor!R42C3</stp>
        <tr r="C42" s="10"/>
      </tp>
      <tp t="s">
        <v>Materials</v>
        <stp/>
        <stp>##V3_BDPV12</stp>
        <stp>3402 JT Equity</stp>
        <stp>gics sector name</stp>
        <stp>[Macro RPRR.xlsx]monitor!R98C39</stp>
        <tr r="AM98" s="10"/>
      </tp>
      <tp t="s">
        <v>Materials</v>
        <stp/>
        <stp>##V3_BDPV12</stp>
        <stp>3407 JT Equity</stp>
        <stp>gics sector name</stp>
        <stp>[Macro RPRR.xlsx]monitor!R85C39</stp>
        <tr r="AM85" s="10"/>
      </tp>
      <tp t="s">
        <v>Information Technology</v>
        <stp/>
        <stp>##V3_BDPV12</stp>
        <stp>3436 JT Equity</stp>
        <stp>gics sector name</stp>
        <stp>[Macro RPRR.xlsx]monitor!R35C39</stp>
        <tr r="AM35" s="10"/>
      </tp>
      <tp>
        <v>21.710125506000665</v>
        <stp/>
        <stp>##V3_BDPV12</stp>
        <stp>S5cons INDEX</stp>
        <stp>best pe ratio</stp>
        <stp>[Macro RPRR.xlsx]monitor!R45C4</stp>
        <stp>Best_Fperiod_override=2gy</stp>
        <tr r="D45" s="10"/>
      </tp>
      <tp>
        <v>20.121542634058493</v>
        <stp/>
        <stp>##V3_BDPV12</stp>
        <stp>S5cons INDEX</stp>
        <stp>best pe ratio</stp>
        <stp>[Macro RPRR.xlsx]monitor!R45C5</stp>
        <stp>Best_Fperiod_override=3gy</stp>
        <tr r="E45" s="10"/>
      </tp>
      <tp>
        <v>-2.4900000000000002</v>
        <stp/>
        <stp>##V3_BDPV12</stp>
        <stp>IEAC LN EQUITY</stp>
        <stp>MF_tot_1W</stp>
        <stp>[Macro RPRR.xlsx]flows!R27C10</stp>
        <tr r="J27" s="12"/>
      </tp>
      <tp>
        <v>1.6080000000000001</v>
        <stp/>
        <stp>##V3_BDPV12</stp>
        <stp>gmxn10yr index</stp>
        <stp>chg net 5yr</stp>
        <stp>[Macro RPRR.xlsx]monitor!R21C7</stp>
        <tr r="G21" s="10"/>
      </tp>
      <tp>
        <v>2.0419999999999998</v>
        <stp/>
        <stp>##V3_BDPV12</stp>
        <stp>gmxn10yr index</stp>
        <stp>chg net 1yr</stp>
        <stp>[Macro RPRR.xlsx]monitor!R21C6</stp>
        <tr r="F21" s="10"/>
      </tp>
      <tp>
        <v>-0.15</v>
        <stp/>
        <stp>##V3_BDPV12</stp>
        <stp>gcny10 index</stp>
        <stp>chg net 6m</stp>
        <stp>[Macro RPRR.xlsx]monitor!R22C5</stp>
        <tr r="E22" s="10"/>
      </tp>
      <tp>
        <v>0.01</v>
        <stp/>
        <stp>##V3_BDPV12</stp>
        <stp>gcny10 index</stp>
        <stp>chg net 1m</stp>
        <stp>[Macro RPRR.xlsx]monitor!R22C4</stp>
        <tr r="D22" s="10"/>
      </tp>
      <tp>
        <v>94.492400000000004</v>
        <stp/>
        <stp>##V3_BDPV12</stp>
        <stp>CEEREU curncy</stp>
        <stp>px last</stp>
        <stp>[Macro RPRR.xlsx]eco data!R27C4</stp>
        <tr r="D27" s="8"/>
      </tp>
      <tp t="s">
        <v>#N/A N/A</v>
        <stp/>
        <stp>##V3_BDPV12</stp>
        <stp>rudprYOY index</stp>
        <stp>CHG neT 1m</stp>
        <stp>[Macro RPRR.xlsx]eco data!R32C24</stp>
        <tr r="X32" s="8"/>
      </tp>
      <tp>
        <v>1.8</v>
        <stp/>
        <stp>##V3_BDPV12</stp>
        <stp>EUGNdey index</stp>
        <stp>px last</stp>
        <stp>[Macro RPRR.xlsx]EU countries!R7C14</stp>
        <tr r="N7" s="11"/>
      </tp>
      <tp>
        <v>5.4</v>
        <stp/>
        <stp>##V3_BDPV12</stp>
        <stp>EUGNfry index</stp>
        <stp>px last</stp>
        <stp>[Macro RPRR.xlsx]EU countries!R8C14</stp>
        <tr r="N8" s="11"/>
      </tp>
      <tp>
        <v>6.2</v>
        <stp/>
        <stp>##V3_BDPV12</stp>
        <stp>EUGNity index</stp>
        <stp>px last</stp>
        <stp>[Macro RPRR.xlsx]EU countries!R9C14</stp>
        <tr r="N9" s="11"/>
      </tp>
      <tp t="s">
        <v>#N/A N/A</v>
        <stp/>
        <stp>##V3_BDPV12</stp>
        <stp>9062 JT Equity</stp>
        <stp>chg PCt 1yr</stp>
        <stp>[Macro RPRR.xlsx]monitor!R86C38</stp>
        <tr r="AL86" s="10"/>
      </tp>
      <tp>
        <v>63.120170000000002</v>
        <stp/>
        <stp>##V3_BDPV12</stp>
        <stp>8002 JT Equity</stp>
        <stp>chg PCt 1yr</stp>
        <stp>[Macro RPRR.xlsx]monitor!R73C38</stp>
        <tr r="AL73" s="10"/>
      </tp>
      <tp>
        <v>-8.9621919999999999</v>
        <stp/>
        <stp>##V3_BDPV12</stp>
        <stp>3402 JT Equity</stp>
        <stp>chg PCt 1yr</stp>
        <stp>[Macro RPRR.xlsx]monitor!R98C38</stp>
        <tr r="AL98" s="10"/>
      </tp>
      <tp>
        <v>-0.2631579</v>
        <stp/>
        <stp>##V3_BDPV12</stp>
        <stp>2502 JT Equity</stp>
        <stp>chg PCt 1yr</stp>
        <stp>[Macro RPRR.xlsx]monitor!R36C38</stp>
        <tr r="AL36" s="10"/>
      </tp>
      <tp>
        <v>-13.320830000000001</v>
        <stp/>
        <stp>##V3_BDPV12</stp>
        <stp>2432 JT Equity</stp>
        <stp>chg PCt 1yr</stp>
        <stp>[Macro RPRR.xlsx]monitor!R44C38</stp>
        <tr r="AL44" s="10"/>
      </tp>
      <tp>
        <v>-39.850749999999998</v>
        <stp/>
        <stp>##V3_BDPV12</stp>
        <stp>5202 JT Equity</stp>
        <stp>chg PCt 1yr</stp>
        <stp>[Macro RPRR.xlsx]monitor!R74C38</stp>
        <tr r="AL74" s="10"/>
      </tp>
      <tp>
        <v>-29.16667</v>
        <stp/>
        <stp>##V3_BDPV12</stp>
        <stp>5332 JT Equity</stp>
        <stp>chg PCt 1yr</stp>
        <stp>[Macro RPRR.xlsx]monitor!R38C38</stp>
        <tr r="AL38" s="10"/>
      </tp>
      <tp>
        <v>-13.09873</v>
        <stp/>
        <stp>##V3_BDPV12</stp>
        <stp>4042 JT Equity</stp>
        <stp>chg PCt 1yr</stp>
        <stp>[Macro RPRR.xlsx]monitor!R51C38</stp>
        <tr r="AL51" s="10"/>
      </tp>
      <tp>
        <v>-5.1384990000000004</v>
        <stp/>
        <stp>##V3_BDPV12</stp>
        <stp>7012 JT Equity</stp>
        <stp>chg PCt 1yr</stp>
        <stp>[Macro RPRR.xlsx]monitor!R57C38</stp>
        <tr r="AL57" s="10"/>
      </tp>
      <tp>
        <v>0.29197079999999997</v>
        <stp/>
        <stp>##V3_BDPV12</stp>
        <stp>7272 JT Equity</stp>
        <stp>chg PCt 1yr</stp>
        <stp>[Macro RPRR.xlsx]monitor!R16C38</stp>
        <tr r="AL16" s="10"/>
      </tp>
      <tp>
        <v>39.16968</v>
        <stp/>
        <stp>##V3_BDPV12</stp>
        <stp>7202 JT Equity</stp>
        <stp>chg PCt 1yr</stp>
        <stp>[Macro RPRR.xlsx]monitor!R84C38</stp>
        <tr r="AL84" s="10"/>
      </tp>
      <tp>
        <v>-19.51219</v>
        <stp/>
        <stp>##V3_BDPV12</stp>
        <stp>6762 JT Equity</stp>
        <stp>chg PCt 1yr</stp>
        <stp>[Macro RPRR.xlsx]monitor!R37C38</stp>
        <tr r="AL37" s="10"/>
      </tp>
      <tp>
        <v>-14.82301</v>
        <stp/>
        <stp>##V3_BDPV12</stp>
        <stp>6752 JT Equity</stp>
        <stp>chg PCt 1yr</stp>
        <stp>[Macro RPRR.xlsx]monitor!R59C38</stp>
        <tr r="AL59" s="10"/>
      </tp>
      <tp>
        <v>-36.085630000000002</v>
        <stp/>
        <stp>##V3_BDPV12</stp>
        <stp>6472 JT Equity</stp>
        <stp>chg PCt 1yr</stp>
        <stp>[Macro RPRR.xlsx]monitor!R50C38</stp>
        <tr r="AL50" s="10"/>
      </tp>
      <tp>
        <v>17.09797</v>
        <stp/>
        <stp>##V3_BDPV12</stp>
        <stp>6702 JT Equity</stp>
        <stp>chg PCt 1yr</stp>
        <stp>[Macro RPRR.xlsx]monitor!R76C38</stp>
        <tr r="AL76" s="10"/>
      </tp>
      <tp>
        <v>-27.588049999999999</v>
        <stp/>
        <stp>##V3_BDPV12</stp>
        <stp>6952 JT Equity</stp>
        <stp>chg PCt 1yr</stp>
        <stp>[Macro RPRR.xlsx]monitor!R31C38</stp>
        <tr r="AL31" s="10"/>
      </tp>
      <tp>
        <v>-12.70998</v>
        <stp/>
        <stp>##V3_BDPV12</stp>
        <stp>6302 JT Equity</stp>
        <stp>chg PCt 1yr</stp>
        <stp>[Macro RPRR.xlsx]monitor!R93C38</stp>
        <tr r="AL93" s="10"/>
      </tp>
      <tp>
        <v>7.9168450000000004</v>
        <stp/>
        <stp>##V3_BDPV12</stp>
        <stp>6902 JT Equity</stp>
        <stp>chg PCt 1yr</stp>
        <stp>[Macro RPRR.xlsx]monitor!R17C38</stp>
        <tr r="AL17" s="10"/>
      </tp>
      <tp>
        <v>2.4510000000000001</v>
        <stp/>
        <stp>##V3_BDPV12</stp>
        <stp>GSPT30YR index</stp>
        <stp>LAST TRADE</stp>
        <stp>[Macro RPRR.xlsx]carry+rd!R10C26</stp>
        <tr r="Z10" s="1"/>
      </tp>
      <tp>
        <v>1.0429999999999999</v>
        <stp/>
        <stp>##V3_BDPV12</stp>
        <stp>GDBR30 index</stp>
        <stp>LAST TRADE</stp>
        <stp>[Macro RPRR.xlsx]carry+rd!R10C2</stp>
        <tr r="B10" s="1"/>
      </tp>
      <tp>
        <v>5.6</v>
        <stp/>
        <stp>##V3_BDPV12</stp>
        <stp>grcp20yy index</stp>
        <stp>CHG neT 1yr</stp>
        <stp>[Macro RPRR.xlsx]eco data!R4C25</stp>
        <tr r="Y4" s="8"/>
        <tr r="Y4" s="8"/>
      </tp>
      <tp>
        <v>2.073</v>
        <stp/>
        <stp>##V3_BDPV12</stp>
        <stp>GUKG30 index</stp>
        <stp>LAST TRADE</stp>
        <stp>[Macro RPRR.xlsx]carry+rd!R10C8</stp>
        <tr r="H10" s="1"/>
      </tp>
      <tp t="s">
        <v>Beverages</v>
        <stp/>
        <stp>##V3_BDPV12</stp>
        <stp>600809 CG Equity</stp>
        <stp>industry group</stp>
        <stp>[Macro RPRR.xlsx]monitor!R4C46</stp>
        <tr r="AT4" s="10"/>
      </tp>
      <tp t="s">
        <v>Mining</v>
        <stp/>
        <stp>##V3_BDPV12</stp>
        <stp>601899 CG Equity</stp>
        <stp>industry group</stp>
        <stp>[Macro RPRR.xlsx]monitor!R8C46</stp>
        <tr r="AT8" s="10"/>
      </tp>
      <tp t="s">
        <v>Retail</v>
        <stp/>
        <stp>##V3_BDPV12</stp>
        <stp>601888 CG Equity</stp>
        <stp>industry group</stp>
        <stp>[Macro RPRR.xlsx]monitor!R2C46</stp>
        <tr r="AT2" s="10"/>
      </tp>
      <tp>
        <v>5.4</v>
        <stp/>
        <stp>##V3_BDPV12</stp>
        <stp>ptcphayy index</stp>
        <stp>CHG neT 1yr</stp>
        <stp>[Macro RPRR.xlsx]eco data!R4C16</stp>
        <tr r="P4" s="8"/>
        <tr r="P4" s="8"/>
      </tp>
      <tp>
        <v>40.844230000000003</v>
        <stp/>
        <stp>##V3_BDPV12</stp>
        <stp>9613 JT Equity</stp>
        <stp>chg PCt 1yr</stp>
        <stp>[Macro RPRR.xlsx]monitor!R72C38</stp>
        <tr r="AL72" s="10"/>
      </tp>
      <tp>
        <v>-26.59986</v>
        <stp/>
        <stp>##V3_BDPV12</stp>
        <stp>9983 JT Equity</stp>
        <stp>chg PCt 1yr</stp>
        <stp>[Macro RPRR.xlsx]monitor!R15C38</stp>
        <tr r="AL15" s="10"/>
      </tp>
      <tp>
        <v>5.0666669999999998</v>
        <stp/>
        <stp>##V3_BDPV12</stp>
        <stp>8233 JT Equity</stp>
        <stp>chg PCt 1yr</stp>
        <stp>[Macro RPRR.xlsx]monitor!R28C38</stp>
        <tr r="AL28" s="10"/>
      </tp>
      <tp>
        <v>-15.9</v>
        <stp/>
        <stp>##V3_BDPV12</stp>
        <stp>cesieur index</stp>
        <stp>chg net 1m</stp>
        <stp>[Macro RPRR.xlsx]rprr!R17C2</stp>
        <tr r="B17" s="4"/>
      </tp>
      <tp>
        <v>20.20767</v>
        <stp/>
        <stp>##V3_BDPV12</stp>
        <stp>1963 JT Equity</stp>
        <stp>chg PCt 1yr</stp>
        <stp>[Macro RPRR.xlsx]monitor!R82C38</stp>
        <tr r="AL82" s="10"/>
      </tp>
      <tp>
        <v>-29.081630000000001</v>
        <stp/>
        <stp>##V3_BDPV12</stp>
        <stp>3103 JT Equity</stp>
        <stp>chg PCt 1yr</stp>
        <stp>[Macro RPRR.xlsx]monitor!R97C38</stp>
        <tr r="AL97" s="10"/>
      </tp>
      <tp>
        <v>30.89151</v>
        <stp/>
        <stp>##V3_BDPV12</stp>
        <stp>5713 JT Equity</stp>
        <stp>chg PCt 1yr</stp>
        <stp>[Macro RPRR.xlsx]monitor!R14C38</stp>
        <tr r="AL14" s="10"/>
      </tp>
      <tp>
        <v>12.038830000000001</v>
        <stp/>
        <stp>##V3_BDPV12</stp>
        <stp>5803 JT Equity</stp>
        <stp>chg PCt 1yr</stp>
        <stp>[Macro RPRR.xlsx]monitor!R52C38</stp>
        <tr r="AL52" s="10"/>
      </tp>
      <tp>
        <v>-25.434149999999999</v>
        <stp/>
        <stp>##V3_BDPV12</stp>
        <stp>5233 JT Equity</stp>
        <stp>chg PCt 1yr</stp>
        <stp>[Macro RPRR.xlsx]monitor!R96C38</stp>
        <tr r="AL96" s="10"/>
      </tp>
      <tp>
        <v>-16.83727</v>
        <stp/>
        <stp>##V3_BDPV12</stp>
        <stp>4183 JT Equity</stp>
        <stp>chg PCt 1yr</stp>
        <stp>[Macro RPRR.xlsx]monitor!R68C38</stp>
        <tr r="AL68" s="10"/>
      </tp>
      <tp>
        <v>-8.1416389999999996</v>
        <stp/>
        <stp>##V3_BDPV12</stp>
        <stp>4063 JT Equity</stp>
        <stp>chg PCt 1yr</stp>
        <stp>[Macro RPRR.xlsx]monitor!R49C38</stp>
        <tr r="AL49" s="10"/>
      </tp>
      <tp>
        <v>48.121029999999998</v>
        <stp/>
        <stp>##V3_BDPV12</stp>
        <stp>7013 JT Equity</stp>
        <stp>chg PCt 1yr</stp>
        <stp>[Macro RPRR.xlsx]monitor!R53C38</stp>
        <tr r="AL53" s="10"/>
      </tp>
      <tp>
        <v>5.9265809999999997</v>
        <stp/>
        <stp>##V3_BDPV12</stp>
        <stp>7733 JT Equity</stp>
        <stp>chg PCt 1yr</stp>
        <stp>[Macro RPRR.xlsx]monitor!R92C38</stp>
        <tr r="AL92" s="10"/>
      </tp>
      <tp>
        <v>-21.381029999999999</v>
        <stp/>
        <stp>##V3_BDPV12</stp>
        <stp>6103 JT Equity</stp>
        <stp>chg PCt 1yr</stp>
        <stp>[Macro RPRR.xlsx]monitor!R63C38</stp>
        <tr r="AL63" s="10"/>
      </tp>
      <tp>
        <v>-39.0137</v>
        <stp/>
        <stp>##V3_BDPV12</stp>
        <stp>6753 JT Equity</stp>
        <stp>chg PCt 1yr</stp>
        <stp>[Macro RPRR.xlsx]monitor!R62C38</stp>
        <tr r="AL62" s="10"/>
      </tp>
      <tp>
        <v>-14.272119999999999</v>
        <stp/>
        <stp>##V3_BDPV12</stp>
        <stp>6473 JT Equity</stp>
        <stp>chg PCt 1yr</stp>
        <stp>[Macro RPRR.xlsx]monitor!R95C38</stp>
        <tr r="AL95" s="10"/>
      </tp>
      <tp>
        <v>-0.32</v>
        <stp/>
        <stp>##V3_BDPV12</stp>
        <stp>CAC FP EQUITY</stp>
        <stp>MF_tot_1W</stp>
        <stp>[Macro RPRR.xlsx]flows!R23C10</stp>
        <tr r="J23" s="12"/>
      </tp>
      <tp>
        <v>0.90800000000000003</v>
        <stp/>
        <stp>##V3_BDPV12</stp>
        <stp>gswiss10 index</stp>
        <stp>px last</stp>
        <stp>[Macro RPRR.xlsx]EU countries!R18C7</stp>
        <tr r="G18" s="11"/>
      </tp>
      <tp>
        <v>43.029546265436146</v>
        <stp/>
        <stp>##V3_BDPV12</stp>
        <stp>S5rlst INDEX</stp>
        <stp>best pe ratio</stp>
        <stp>[Macro RPRR.xlsx]monitor!R40C4</stp>
        <stp>Best_Fperiod_override=2gy</stp>
        <tr r="D40" s="10"/>
      </tp>
      <tp>
        <v>40.159127810700859</v>
        <stp/>
        <stp>##V3_BDPV12</stp>
        <stp>S5rlst INDEX</stp>
        <stp>best pe ratio</stp>
        <stp>[Macro RPRR.xlsx]monitor!R40C5</stp>
        <stp>Best_Fperiod_override=3gy</stp>
        <tr r="E40" s="10"/>
      </tp>
      <tp>
        <v>14722.731</v>
        <stp/>
        <stp>##V3_BDPV12</stp>
        <stp>wgdpchin index</stp>
        <stp>px last</stp>
        <stp>[Macro RPRR.xlsx]EU countries!R22C10</stp>
        <tr r="J22" s="11"/>
      </tp>
      <tp t="s">
        <v>#N/A N/A</v>
        <stp/>
        <stp>##V3_BDPV12</stp>
        <stp>ptgdpyoy index</stp>
        <stp>CHG neT 5d</stp>
        <stp>[Macro RPRR.xlsx]eco data!R5C14</stp>
        <tr r="N5" s="8"/>
      </tp>
      <tp t="s">
        <v>#N/A N/A</v>
        <stp/>
        <stp>##V3_BDPV12</stp>
        <stp>ptgdpyoy index</stp>
        <stp>CHG neT 1m</stp>
        <stp>[Macro RPRR.xlsx]eco data!R5C15</stp>
        <tr r="O5" s="8"/>
      </tp>
      <tp>
        <v>69.3</v>
        <stp/>
        <stp>##V3_BDPV12</stp>
        <stp>EUdb60de index</stp>
        <stp>px last</stp>
        <stp>[Macro RPRR.xlsx]eco data!R3C30</stp>
        <tr r="AD3" s="8"/>
      </tp>
      <tp>
        <v>-0.79813069999999997</v>
        <stp/>
        <stp>##V3_BDPV12</stp>
        <stp>PSI20 INDEX</stp>
        <stp>CHG PCT 5d</stp>
        <stp>[Macro RPRR.xlsx]eco data!R15C14</stp>
        <tr r="N15" s="8"/>
      </tp>
      <tp>
        <v>-8.9999999999999993E-3</v>
        <stp/>
        <stp>##V3_BDPV12</stp>
        <stp>getb1 index</stp>
        <stp>CHG neT 5d</stp>
        <stp>[Macro RPRR.xlsx]eco data!R23C5</stp>
        <tr r="E23" s="8"/>
        <tr r="E23" s="8"/>
      </tp>
      <tp>
        <v>3.5999999999999997E-2</v>
        <stp/>
        <stp>##V3_BDPV12</stp>
        <stp>getb1 index</stp>
        <stp>CHG neT 1m</stp>
        <stp>[Macro RPRR.xlsx]eco data!R23C6</stp>
        <tr r="F23" s="8"/>
        <tr r="F23" s="8"/>
      </tp>
      <tp>
        <v>-13.5</v>
        <stp/>
        <stp>##V3_BDPV12</stp>
        <stp>CNGDPYOY index</stp>
        <stp>CHG neT 1yr</stp>
        <stp>[Macro RPRR.xlsx]eco data!R19C25</stp>
        <tr r="Y19" s="8"/>
        <tr r="Y19" s="8"/>
      </tp>
      <tp>
        <v>-20.39545</v>
        <stp/>
        <stp>##V3_BDPV12</stp>
        <stp>JD/ LN Equity</stp>
        <stp>chg PCt 1yr</stp>
        <stp>[Macro RPRR.xlsx]monitor!R18C32</stp>
        <tr r="AF18" s="10"/>
      </tp>
      <tp>
        <v>49.269860000000001</v>
        <stp/>
        <stp>##V3_BDPV12</stp>
        <stp>BA/ LN Equity</stp>
        <stp>chg PCt 1yr</stp>
        <stp>[Macro RPRR.xlsx]monitor!R95C32</stp>
        <tr r="AF95" s="10"/>
      </tp>
      <tp>
        <v>-42.885579999999997</v>
        <stp/>
        <stp>##V3_BDPV12</stp>
        <stp>HL/ LN Equity</stp>
        <stp>chg PCt 1yr</stp>
        <stp>[Macro RPRR.xlsx]monitor!R81C32</stp>
        <tr r="AF81" s="10"/>
      </tp>
      <tp>
        <v>10.931990000000001</v>
        <stp/>
        <stp>##V3_BDPV12</stp>
        <stp>AV/ LN Equity</stp>
        <stp>chg PCt 1yr</stp>
        <stp>[Macro RPRR.xlsx]monitor!R40C32</stp>
        <tr r="AF40" s="10"/>
      </tp>
      <tp>
        <v>33.949150000000003</v>
        <stp/>
        <stp>##V3_BDPV12</stp>
        <stp>BP/ LN Equity</stp>
        <stp>chg PCt 1yr</stp>
        <stp>[Macro RPRR.xlsx]monitor!R63C32</stp>
        <tr r="AF63" s="10"/>
      </tp>
      <tp>
        <v>-9.4242360000000005</v>
        <stp/>
        <stp>##V3_BDPV12</stp>
        <stp>RR/ LN Equity</stp>
        <stp>chg PCt 1yr</stp>
        <stp>[Macro RPRR.xlsx]monitor!R97C32</stp>
        <tr r="AF97" s="10"/>
      </tp>
      <tp t="s">
        <v>#N/A N/A</v>
        <stp/>
        <stp>##V3_BDPV12</stp>
        <stp>RB/ LN Equity</stp>
        <stp>chg PCt 1yr</stp>
        <stp>[Macro RPRR.xlsx]monitor!R91C32</stp>
        <tr r="AF91" s="10"/>
      </tp>
      <tp>
        <v>-12.097860000000001</v>
        <stp/>
        <stp>##V3_BDPV12</stp>
        <stp>SN/ LN Equity</stp>
        <stp>chg PCt 1yr</stp>
        <stp>[Macro RPRR.xlsx]monitor!R99C32</stp>
        <tr r="AF99" s="10"/>
      </tp>
      <tp>
        <v>17.558910000000001</v>
        <stp/>
        <stp>##V3_BDPV12</stp>
        <stp>UU/ LN Equity</stp>
        <stp>chg PCt 1yr</stp>
        <stp>[Macro RPRR.xlsx]monitor!R98C32</stp>
        <tr r="AF98" s="10"/>
      </tp>
      <tp>
        <v>-28.246749999999999</v>
        <stp/>
        <stp>##V3_BDPV12</stp>
        <stp>TW/ LN Equity</stp>
        <stp>chg PCt 1yr</stp>
        <stp>[Macro RPRR.xlsx]monitor!R37C32</stp>
        <tr r="AF37" s="10"/>
      </tp>
      <tp>
        <v>100.9875</v>
        <stp/>
        <stp>##V3_BDPV12</stp>
        <stp>CEERUS curncy</stp>
        <stp>px last</stp>
        <stp>[Macro RPRR.xlsx]eco data!R14C4</stp>
        <tr r="D14" s="8"/>
      </tp>
      <tp>
        <v>46.835439999999998</v>
        <stp/>
        <stp>##V3_BDPV12</stp>
        <stp>9501 JT Equity</stp>
        <stp>chg PCt 1yr</stp>
        <stp>[Macro RPRR.xlsx]monitor!R61C38</stp>
        <tr r="AL61" s="10"/>
      </tp>
      <tp>
        <v>-5.6782329999999996</v>
        <stp/>
        <stp>##V3_BDPV12</stp>
        <stp>9301 JT Equity</stp>
        <stp>chg PCt 1yr</stp>
        <stp>[Macro RPRR.xlsx]monitor!R88C38</stp>
        <tr r="AL88" s="10"/>
      </tp>
      <tp>
        <v>14.65666</v>
        <stp/>
        <stp>##V3_BDPV12</stp>
        <stp>8001 JT Equity</stp>
        <stp>chg PCt 1yr</stp>
        <stp>[Macro RPRR.xlsx]monitor!R90C38</stp>
        <tr r="AL90" s="10"/>
      </tp>
      <tp>
        <v>-26.18384</v>
        <stp/>
        <stp>##V3_BDPV12</stp>
        <stp>2531 JT Equity</stp>
        <stp>chg PCt 1yr</stp>
        <stp>[Macro RPRR.xlsx]monitor!R27C38</stp>
        <tr r="AL27" s="10"/>
      </tp>
      <tp>
        <v>28.417819999999999</v>
        <stp/>
        <stp>##V3_BDPV12</stp>
        <stp>2801 JT Equity</stp>
        <stp>chg PCt 1yr</stp>
        <stp>[Macro RPRR.xlsx]monitor!R60C38</stp>
        <tr r="AL60" s="10"/>
      </tp>
      <tp>
        <v>38.44697</v>
        <stp/>
        <stp>##V3_BDPV12</stp>
        <stp>5631 JT Equity</stp>
        <stp>chg PCt 1yr</stp>
        <stp>[Macro RPRR.xlsx]monitor!R13C38</stp>
        <tr r="AL13" s="10"/>
      </tp>
      <tp>
        <v>10.190580000000001</v>
        <stp/>
        <stp>##V3_BDPV12</stp>
        <stp>5401 JT Equity</stp>
        <stp>chg PCt 1yr</stp>
        <stp>[Macro RPRR.xlsx]monitor!R25C38</stp>
        <tr r="AL25" s="10"/>
      </tp>
      <tp>
        <v>-0.825712</v>
        <stp/>
        <stp>##V3_BDPV12</stp>
        <stp>5201 JT Equity</stp>
        <stp>chg PCt 1yr</stp>
        <stp>[Macro RPRR.xlsx]monitor!R69C38</stp>
        <tr r="AL69" s="10"/>
      </tp>
      <tp>
        <v>-26.25563</v>
        <stp/>
        <stp>##V3_BDPV12</stp>
        <stp>5801 JT Equity</stp>
        <stp>chg PCt 1yr</stp>
        <stp>[Macro RPRR.xlsx]monitor!R94C38</stp>
        <tr r="AL94" s="10"/>
      </tp>
      <tp>
        <v>-39.162840000000003</v>
        <stp/>
        <stp>##V3_BDPV12</stp>
        <stp>5301 JT Equity</stp>
        <stp>chg PCt 1yr</stp>
        <stp>[Macro RPRR.xlsx]monitor!R21C38</stp>
        <tr r="AL21" s="10"/>
      </tp>
      <tp>
        <v>15.819610000000001</v>
        <stp/>
        <stp>##V3_BDPV12</stp>
        <stp>5411 JT Equity</stp>
        <stp>chg PCt 1yr</stp>
        <stp>[Macro RPRR.xlsx]monitor!R47C38</stp>
        <tr r="AL47" s="10"/>
      </tp>
      <tp>
        <v>-28.83249</v>
        <stp/>
        <stp>##V3_BDPV12</stp>
        <stp>4751 JT Equity</stp>
        <stp>chg PCt 1yr</stp>
        <stp>[Macro RPRR.xlsx]monitor!R26C38</stp>
        <tr r="AL26" s="10"/>
      </tp>
      <tp>
        <v>-23.489930000000001</v>
        <stp/>
        <stp>##V3_BDPV12</stp>
        <stp>4061 JT Equity</stp>
        <stp>chg PCt 1yr</stp>
        <stp>[Macro RPRR.xlsx]monitor!R23C38</stp>
        <tr r="AL23" s="10"/>
      </tp>
      <tp>
        <v>9.8692030000000006</v>
        <stp/>
        <stp>##V3_BDPV12</stp>
        <stp>7261 JT Equity</stp>
        <stp>chg PCt 1yr</stp>
        <stp>[Macro RPRR.xlsx]monitor!R99C38</stp>
        <tr r="AL99" s="10"/>
      </tp>
      <tp>
        <v>-2.381818</v>
        <stp/>
        <stp>##V3_BDPV12</stp>
        <stp>7201 JT Equity</stp>
        <stp>chg PCt 1yr</stp>
        <stp>[Macro RPRR.xlsx]monitor!R83C38</stp>
        <tr r="AL83" s="10"/>
      </tp>
      <tp>
        <v>-31.398669999999999</v>
        <stp/>
        <stp>##V3_BDPV12</stp>
        <stp>6471 JT Equity</stp>
        <stp>chg PCt 1yr</stp>
        <stp>[Macro RPRR.xlsx]monitor!R79C38</stp>
        <tr r="AL79" s="10"/>
      </tp>
      <tp>
        <v>28.167539999999999</v>
        <stp/>
        <stp>##V3_BDPV12</stp>
        <stp>6361 JT Equity</stp>
        <stp>chg PCt 1yr</stp>
        <stp>[Macro RPRR.xlsx]monitor!R11C38</stp>
        <tr r="AL11" s="10"/>
      </tp>
      <tp>
        <v>-7.7822209999999998</v>
        <stp/>
        <stp>##V3_BDPV12</stp>
        <stp>6301 JT Equity</stp>
        <stp>chg PCt 1yr</stp>
        <stp>[Macro RPRR.xlsx]monitor!R34C38</stp>
        <tr r="AL34" s="10"/>
      </tp>
      <tp>
        <v>18.74634</v>
        <stp/>
        <stp>##V3_BDPV12</stp>
        <stp>6501 JT Equity</stp>
        <stp>chg PCt 1yr</stp>
        <stp>[Macro RPRR.xlsx]monitor!R54C38</stp>
        <tr r="AL54" s="10"/>
      </tp>
      <tp>
        <v>7.6693230000000003</v>
        <stp/>
        <stp>##V3_BDPV12</stp>
        <stp>6841 JT Equity</stp>
        <stp>chg PCt 1yr</stp>
        <stp>[Macro RPRR.xlsx]monitor!R87C38</stp>
        <tr r="AL87" s="10"/>
      </tp>
      <tp>
        <v>-18.542000000000002</v>
        <stp/>
        <stp>##V3_BDPV12</stp>
        <stp>6701 JT Equity</stp>
        <stp>chg PCt 1yr</stp>
        <stp>[Macro RPRR.xlsx]monitor!R71C38</stp>
        <tr r="AL71" s="10"/>
      </tp>
      <tp>
        <v>11.178707480356199</v>
        <stp/>
        <stp>##V3_BDPV12</stp>
        <stp>S5enrs INDEX</stp>
        <stp>best pe ratio</stp>
        <stp>[Macro RPRR.xlsx]monitor!R41C4</stp>
        <stp>Best_Fperiod_override=2gy</stp>
        <tr r="D41" s="10"/>
      </tp>
      <tp>
        <v>11.840073762055894</v>
        <stp/>
        <stp>##V3_BDPV12</stp>
        <stp>S5enrs INDEX</stp>
        <stp>best pe ratio</stp>
        <stp>[Macro RPRR.xlsx]monitor!R41C5</stp>
        <stp>Best_Fperiod_override=3gy</stp>
        <tr r="E41" s="10"/>
      </tp>
      <tp>
        <v>-1.21</v>
        <stp/>
        <stp>##V3_BDPV12</stp>
        <stp>XGLE GR EQUITY</stp>
        <stp>MF_tot_1M</stp>
        <stp>[Macro RPRR.xlsx]flows!R30C11</stp>
        <tr r="K30" s="12"/>
      </tp>
      <tp>
        <v>3.0350000000000001</v>
        <stp/>
        <stp>##V3_BDPV12</stp>
        <stp>GACGB7 index</stp>
        <stp>LAST TRADE</stp>
        <stp>[Macro RPRR.xlsx]carry+rd!R8C14</stp>
        <tr r="N8" s="1"/>
      </tp>
      <tp>
        <v>2.9180000000000001</v>
        <stp/>
        <stp>##V3_BDPV12</stp>
        <stp>GACGB5 index</stp>
        <stp>LAST TRADE</stp>
        <stp>[Macro RPRR.xlsx]carry+rd!R7C14</stp>
        <tr r="N7" s="1"/>
      </tp>
      <tp>
        <v>2.9</v>
        <stp/>
        <stp>##V3_BDPV12</stp>
        <stp>GACGB4 index</stp>
        <stp>LAST TRADE</stp>
        <stp>[Macro RPRR.xlsx]carry+rd!R6C14</stp>
        <tr r="N6" s="1"/>
      </tp>
      <tp>
        <v>2.69</v>
        <stp/>
        <stp>##V3_BDPV12</stp>
        <stp>GACGB3 index</stp>
        <stp>LAST TRADE</stp>
        <stp>[Macro RPRR.xlsx]carry+rd!R5C14</stp>
        <tr r="N5" s="1"/>
      </tp>
      <tp>
        <v>2.38</v>
        <stp/>
        <stp>##V3_BDPV12</stp>
        <stp>GACGB2 index</stp>
        <stp>LAST TRADE</stp>
        <stp>[Macro RPRR.xlsx]carry+rd!R4C14</stp>
        <tr r="N4" s="1"/>
      </tp>
      <tp>
        <v>1.6319999999999999</v>
        <stp/>
        <stp>##V3_BDPV12</stp>
        <stp>GACGB1 index</stp>
        <stp>LAST TRADE</stp>
        <stp>[Macro RPRR.xlsx]carry+rd!R3C14</stp>
        <tr r="N3" s="1"/>
      </tp>
      <tp t="s">
        <v>Insurance</v>
        <stp/>
        <stp>##V3_BDPV12</stp>
        <stp>6178 JT Equity</stp>
        <stp>industry group</stp>
        <stp>[Macro RPRR.xlsx]monitor!R168C40</stp>
        <tr r="AN168" s="10"/>
      </tp>
      <tp t="s">
        <v>Chemicals</v>
        <stp/>
        <stp>##V3_BDPV12</stp>
        <stp>4208 JT Equity</stp>
        <stp>industry group</stp>
        <stp>[Macro RPRR.xlsx]monitor!R110C40</stp>
        <tr r="AN110" s="10"/>
      </tp>
      <tp t="s">
        <v>Chemicals</v>
        <stp/>
        <stp>##V3_BDPV12</stp>
        <stp>4188 JT Equity</stp>
        <stp>industry group</stp>
        <stp>[Macro RPRR.xlsx]monitor!R144C40</stp>
        <tr r="AN144" s="10"/>
      </tp>
      <tp t="s">
        <v>Pharmaceuticals</v>
        <stp/>
        <stp>##V3_BDPV12</stp>
        <stp>4568 JT Equity</stp>
        <stp>industry group</stp>
        <stp>[Macro RPRR.xlsx]monitor!R137C40</stp>
        <tr r="AN137" s="10"/>
      </tp>
      <tp t="s">
        <v>Pharmaceuticals</v>
        <stp/>
        <stp>##V3_BDPV12</stp>
        <stp>4578 JT Equity</stp>
        <stp>industry group</stp>
        <stp>[Macro RPRR.xlsx]monitor!R183C40</stp>
        <tr r="AN183" s="10"/>
      </tp>
      <tp t="s">
        <v>Distribution/Wholesale</v>
        <stp/>
        <stp>##V3_BDPV12</stp>
        <stp>2768 JT Equity</stp>
        <stp>industry group</stp>
        <stp>[Macro RPRR.xlsx]monitor!R162C40</stp>
        <tr r="AN162" s="10"/>
      </tp>
      <tp t="s">
        <v>Home Builders</v>
        <stp/>
        <stp>##V3_BDPV12</stp>
        <stp>1808 JT Equity</stp>
        <stp>industry group</stp>
        <stp>[Macro RPRR.xlsx]monitor!R134C40</stp>
        <tr r="AN134" s="10"/>
      </tp>
      <tp t="s">
        <v>Home Builders</v>
        <stp/>
        <stp>##V3_BDPV12</stp>
        <stp>1928 JT Equity</stp>
        <stp>industry group</stp>
        <stp>[Macro RPRR.xlsx]monitor!R148C40</stp>
        <tr r="AN148" s="10"/>
      </tp>
      <tp t="s">
        <v>Transportation</v>
        <stp/>
        <stp>##V3_BDPV12</stp>
        <stp>9008 JT Equity</stp>
        <stp>industry group</stp>
        <stp>[Macro RPRR.xlsx]monitor!R173C40</stp>
        <tr r="AN173" s="10"/>
      </tp>
      <tp t="s">
        <v>Banks</v>
        <stp/>
        <stp>##V3_BDPV12</stp>
        <stp>8308 JT Equity</stp>
        <stp>industry group</stp>
        <stp>[Macro RPRR.xlsx]monitor!R122C40</stp>
        <tr r="AN122" s="10"/>
      </tp>
      <tp t="s">
        <v>Diversified Finan Serv</v>
        <stp/>
        <stp>##V3_BDPV12</stp>
        <stp>8628 JT Equity</stp>
        <stp>industry group</stp>
        <stp>[Macro RPRR.xlsx]monitor!R174C40</stp>
        <tr r="AN174" s="10"/>
      </tp>
      <tp t="s">
        <v>Distribution/Wholesale</v>
        <stp/>
        <stp>##V3_BDPV12</stp>
        <stp>8058 JT Equity</stp>
        <stp>industry group</stp>
        <stp>[Macro RPRR.xlsx]monitor!R128C40</stp>
        <tr r="AN128" s="10"/>
      </tp>
      <tp>
        <v>1.847</v>
        <stp/>
        <stp>##V3_BDPV12</stp>
        <stp>GBTPGR5 index</stp>
        <stp>LAST TRADE</stp>
        <stp>[Macro RPRR.xlsx]carry+rd!R7C20</stp>
        <tr r="T7" s="1"/>
      </tp>
      <tp>
        <v>1.5980000000000001</v>
        <stp/>
        <stp>##V3_BDPV12</stp>
        <stp>GBTPGR4 index</stp>
        <stp>LAST TRADE</stp>
        <stp>[Macro RPRR.xlsx]carry+rd!R6C20</stp>
        <tr r="T6" s="1"/>
      </tp>
      <tp>
        <v>14.3</v>
        <stp/>
        <stp>##V3_BDPV12</stp>
        <stp>spnagdpy index</stp>
        <stp>CHG neT 1yr</stp>
        <stp>[Macro RPRR.xlsx]eco data!R19C16</stp>
        <tr r="P19" s="8"/>
        <tr r="P19" s="8"/>
      </tp>
      <tp>
        <v>2.198</v>
        <stp/>
        <stp>##V3_BDPV12</stp>
        <stp>GBTPGR7 index</stp>
        <stp>LAST TRADE</stp>
        <stp>[Macro RPRR.xlsx]carry+rd!R8C20</stp>
        <tr r="T8" s="1"/>
      </tp>
      <tp>
        <v>1.206</v>
        <stp/>
        <stp>##V3_BDPV12</stp>
        <stp>GBTPGR3 index</stp>
        <stp>LAST TRADE</stp>
        <stp>[Macro RPRR.xlsx]carry+rd!R5C20</stp>
        <tr r="T5" s="1"/>
      </tp>
      <tp>
        <v>0.59299999999999997</v>
        <stp/>
        <stp>##V3_BDPV12</stp>
        <stp>GBTPGR2 index</stp>
        <stp>LAST TRADE</stp>
        <stp>[Macro RPRR.xlsx]carry+rd!R4C20</stp>
        <tr r="T4" s="1"/>
      </tp>
      <tp t="s">
        <v>#N/A N/A</v>
        <stp/>
        <stp>##V3_BDPV12</stp>
        <stp>rudprYOY index</stp>
        <stp>CHG neT 5d</stp>
        <stp>[Macro RPRR.xlsx]eco data!R32C23</stp>
        <tr r="W32" s="8"/>
      </tp>
      <tp>
        <v>0.6</v>
        <stp/>
        <stp>##V3_BDPV12</stp>
        <stp>ehcaAUy INDEX</stp>
        <stp>PX LAST</stp>
        <stp>[Macro RPRR.xlsx]EU countries!R29C19</stp>
        <tr r="S29" s="11"/>
      </tp>
      <tp>
        <v>-46.425739999999998</v>
        <stp/>
        <stp>##V3_BDPV12</stp>
        <stp>9984 JT Equity</stp>
        <stp>chg PCt 1yr</stp>
        <stp>[Macro RPRR.xlsx]monitor!R5C38</stp>
        <tr r="AL5" s="10"/>
      </tp>
      <tp>
        <v>0.06</v>
        <stp/>
        <stp>##V3_BDPV12</stp>
        <stp>ehcaCAY INDEX</stp>
        <stp>PX LAST</stp>
        <stp>[Macro RPRR.xlsx]EU countries!R27C19</stp>
        <tr r="S27" s="11"/>
      </tp>
      <tp>
        <v>-3.35</v>
        <stp/>
        <stp>##V3_BDPV12</stp>
        <stp>ehcaNZy INDEX</stp>
        <stp>PX LAST</stp>
        <stp>[Macro RPRR.xlsx]EU countries!R30C19</stp>
        <tr r="S30" s="11"/>
      </tp>
      <tp>
        <v>-1.89E-3</v>
        <stp/>
        <stp>##V3_BDPV12</stp>
        <stp>Jysoc index</stp>
        <stp>CHG neT 1yr</stp>
        <stp>[Macro RPRR.xlsx]eco data!R36C7</stp>
        <tr r="G36" s="8"/>
        <tr r="G36" s="8"/>
      </tp>
      <tp>
        <v>3.61</v>
        <stp/>
        <stp>##V3_BDPV12</stp>
        <stp>ehcaKRy INDEX</stp>
        <stp>PX LAST</stp>
        <stp>[Macro RPRR.xlsx]EU countries!R31C19</stp>
        <tr r="S31" s="11"/>
      </tp>
      <tp>
        <v>24.341090000000001</v>
        <stp/>
        <stp>##V3_BDPV12</stp>
        <stp>9766 JT Equity</stp>
        <stp>chg PCt 1yr</stp>
        <stp>[Macro RPRR.xlsx]monitor!R19C38</stp>
        <tr r="AL19" s="10"/>
      </tp>
      <tp>
        <v>5.5</v>
        <stp/>
        <stp>##V3_BDPV12</stp>
        <stp>ehcaSEy INDEX</stp>
        <stp>PX LAST</stp>
        <stp>[Macro RPRR.xlsx]EU countries!R28C19</stp>
        <tr r="S28" s="11"/>
      </tp>
      <tp>
        <v>82.3</v>
        <stp/>
        <stp>##V3_BDPV12</stp>
        <stp>gddbunst index</stp>
        <stp>px last</stp>
        <stp>[Macro RPRR.xlsx]EU countries!R20C17</stp>
        <tr r="Q20" s="11"/>
      </tp>
      <tp>
        <v>-31.02216</v>
        <stp/>
        <stp>##V3_BDPV12</stp>
        <stp>3436 JT Equity</stp>
        <stp>chg PCt 1yr</stp>
        <stp>[Macro RPRR.xlsx]monitor!R35C38</stp>
        <tr r="AL35" s="10"/>
      </tp>
      <tp>
        <v>-6.5368570000000004</v>
        <stp/>
        <stp>##V3_BDPV12</stp>
        <stp>5706 JT Equity</stp>
        <stp>chg PCt 1yr</stp>
        <stp>[Macro RPRR.xlsx]monitor!R10C38</stp>
        <tr r="AL10" s="10"/>
      </tp>
      <tp>
        <v>-22.327470000000002</v>
        <stp/>
        <stp>##V3_BDPV12</stp>
        <stp>5406 JT Equity</stp>
        <stp>chg PCt 1yr</stp>
        <stp>[Macro RPRR.xlsx]monitor!R12C38</stp>
        <tr r="AL12" s="10"/>
      </tp>
      <tp>
        <v>16.313627502245492</v>
        <stp/>
        <stp>##V3_BDPV12</stp>
        <stp>S5tels INDEX</stp>
        <stp>best pe ratio</stp>
        <stp>[Macro RPRR.xlsx]monitor!R44C3</stp>
        <tr r="C44" s="10"/>
      </tp>
      <tp t="s">
        <v>#N/A N/A</v>
        <stp/>
        <stp>##V3_BDPV12</stp>
        <stp>cesijpy index</stp>
        <stp>chg net 1m</stp>
        <stp>[Macro RPRR.xlsx]rprr!R37C2</stp>
        <tr r="B37" s="4"/>
      </tp>
      <tp>
        <v>-10.722009999999999</v>
        <stp/>
        <stp>##V3_BDPV12</stp>
        <stp>6326 JT Equity</stp>
        <stp>chg PCt 1yr</stp>
        <stp>[Macro RPRR.xlsx]monitor!R41C38</stp>
        <tr r="AL41" s="10"/>
      </tp>
      <tp>
        <v>-12.88462</v>
        <stp/>
        <stp>##V3_BDPV12</stp>
        <stp>6506 JT Equity</stp>
        <stp>chg PCt 1yr</stp>
        <stp>[Macro RPRR.xlsx]monitor!R33C38</stp>
        <tr r="AL33" s="10"/>
      </tp>
      <tp>
        <v>1.984127</v>
        <stp/>
        <stp>##V3_BDPV12</stp>
        <stp>6976 JT Equity</stp>
        <stp>chg PCt 1yr</stp>
        <stp>[Macro RPRR.xlsx]monitor!R24C38</stp>
        <tr r="AL24" s="10"/>
      </tp>
      <tp>
        <v>1.1100000000000001E-3</v>
        <stp/>
        <stp>##V3_BDPV12</stp>
        <stp>Jysoc index</stp>
        <stp>CHG neT 5d</stp>
        <stp>[Macro RPRR.xlsx]eco data!R49C5</stp>
        <tr r="E49" s="8"/>
      </tp>
      <tp t="s">
        <v>#N/A N/A</v>
        <stp/>
        <stp>##V3_BDPV12</stp>
        <stp>ehupus index</stp>
        <stp>CHG neT 5d</stp>
        <stp>[Macro RPRR.xlsx]eco data!R8C5</stp>
        <tr r="E8" s="8"/>
      </tp>
      <tp t="s">
        <v>#N/A N/A</v>
        <stp/>
        <stp>##V3_BDPV12</stp>
        <stp>ehupus index</stp>
        <stp>CHG neT 1m</stp>
        <stp>[Macro RPRR.xlsx]eco data!R8C6</stp>
        <tr r="F8" s="8"/>
      </tp>
      <tp>
        <v>282.58999999999997</v>
        <stp/>
        <stp>##V3_BDPV12</stp>
        <stp>ISF LN EQUITY</stp>
        <stp>MF_tot_1W</stp>
        <stp>[Macro RPRR.xlsx]flows!R22C10</stp>
        <tr r="J22" s="12"/>
      </tp>
      <tp>
        <v>0.02</v>
        <stp/>
        <stp>##V3_BDPV12</stp>
        <stp>IBGX LN EQUITY</stp>
        <stp>MF_tot_1W</stp>
        <stp>[Macro RPRR.xlsx]flows!R29C10</stp>
        <tr r="J29" s="12"/>
      </tp>
      <tp>
        <v>7.6</v>
        <stp/>
        <stp>##V3_BDPV12</stp>
        <stp>ECCPdeY INDEX</stp>
        <stp>px last</stp>
        <stp>[Macro RPRR.xlsx]EU countries!R7C15</stp>
        <tr r="O7" s="11"/>
      </tp>
      <tp>
        <v>5.0999999999999996</v>
        <stp/>
        <stp>##V3_BDPV12</stp>
        <stp>ECCPfrY INDEX</stp>
        <stp>px last</stp>
        <stp>[Macro RPRR.xlsx]EU countries!R8C15</stp>
        <tr r="O8" s="11"/>
      </tp>
      <tp>
        <v>6.8</v>
        <stp/>
        <stp>##V3_BDPV12</stp>
        <stp>ECCPitY INDEX</stp>
        <stp>px last</stp>
        <stp>[Macro RPRR.xlsx]EU countries!R9C15</stp>
        <tr r="O9" s="11"/>
      </tp>
      <tp t="s">
        <v>Oil&amp;Gas</v>
        <stp/>
        <stp>##V3_BDPV12</stp>
        <stp>5019 JT Equity</stp>
        <stp>industry group</stp>
        <stp>[Macro RPRR.xlsx]monitor!R167C40</stp>
        <tr r="AN167" s="10"/>
      </tp>
      <tp t="s">
        <v>Pharmaceuticals</v>
        <stp/>
        <stp>##V3_BDPV12</stp>
        <stp>4519 JT Equity</stp>
        <stp>industry group</stp>
        <stp>[Macro RPRR.xlsx]monitor!R188C40</stp>
        <tr r="AN188" s="10"/>
      </tp>
      <tp t="s">
        <v>Real Estate</v>
        <stp/>
        <stp>##V3_BDPV12</stp>
        <stp>3289 JT Equity</stp>
        <stp>industry group</stp>
        <stp>[Macro RPRR.xlsx]monitor!R136C40</stp>
        <tr r="AN136" s="10"/>
      </tp>
      <tp t="s">
        <v>Retail</v>
        <stp/>
        <stp>##V3_BDPV12</stp>
        <stp>3099 JT Equity</stp>
        <stp>industry group</stp>
        <stp>[Macro RPRR.xlsx]monitor!R153C40</stp>
        <tr r="AN153" s="10"/>
      </tp>
      <tp t="s">
        <v>Food</v>
        <stp/>
        <stp>##V3_BDPV12</stp>
        <stp>2269 JT Equity</stp>
        <stp>industry group</stp>
        <stp>[Macro RPRR.xlsx]monitor!R220C40</stp>
        <tr r="AN220" s="10"/>
      </tp>
      <tp t="s">
        <v>#N/A N/A</v>
        <stp/>
        <stp>##V3_BDPV12</stp>
        <stp>UKrpyoy index</stp>
        <stp>CHG neT 5d</stp>
        <stp>[Macro RPRR.xlsx]eco data!R44C5</stp>
        <tr r="E44" s="8"/>
      </tp>
      <tp>
        <v>0.8</v>
        <stp/>
        <stp>##V3_BDPV12</stp>
        <stp>UKrpyoy index</stp>
        <stp>CHG neT 1m</stp>
        <stp>[Macro RPRR.xlsx]eco data!R44C6</stp>
        <tr r="F44" s="8"/>
        <tr r="F44" s="8"/>
      </tp>
      <tp t="s">
        <v>Transportation</v>
        <stp/>
        <stp>##V3_BDPV12</stp>
        <stp>9009 JT Equity</stp>
        <stp>industry group</stp>
        <stp>[Macro RPRR.xlsx]monitor!R171C40</stp>
        <tr r="AN171" s="10"/>
      </tp>
      <tp t="s">
        <v>Banks</v>
        <stp/>
        <stp>##V3_BDPV12</stp>
        <stp>8309 JT Equity</stp>
        <stp>industry group</stp>
        <stp>[Macro RPRR.xlsx]monitor!R163C40</stp>
        <tr r="AN163" s="10"/>
      </tp>
      <tp>
        <v>0.61</v>
        <stp/>
        <stp>##V3_BDPV12</stp>
        <stp>gnzgb10 index</stp>
        <stp>chg net 5yr</stp>
        <stp>[Macro RPRR.xlsx]monitor!R16C7</stp>
        <tr r="G16" s="10"/>
      </tp>
      <tp>
        <v>16.83821241521234</v>
        <stp/>
        <stp>##V3_BDPV12</stp>
        <stp>S5hlth INDEX</stp>
        <stp>best pe ratio</stp>
        <stp>[Macro RPRR.xlsx]monitor!R46C4</stp>
        <stp>Best_Fperiod_override=2gy</stp>
        <tr r="D46" s="10"/>
      </tp>
      <tp>
        <v>15.808054133938791</v>
        <stp/>
        <stp>##V3_BDPV12</stp>
        <stp>S5hlth INDEX</stp>
        <stp>best pe ratio</stp>
        <stp>[Macro RPRR.xlsx]monitor!R46C5</stp>
        <stp>Best_Fperiod_override=3gy</stp>
        <tr r="E46" s="10"/>
      </tp>
      <tp>
        <v>2.0270000000000001</v>
        <stp/>
        <stp>##V3_BDPV12</stp>
        <stp>gnzgb10 index</stp>
        <stp>chg net 1yr</stp>
        <stp>[Macro RPRR.xlsx]monitor!R16C6</stp>
        <tr r="F16" s="10"/>
      </tp>
      <tp>
        <v>16.210939028607491</v>
        <stp/>
        <stp>##V3_BDPV12</stp>
        <stp>S5matr INDEX</stp>
        <stp>best pe ratio</stp>
        <stp>[Macro RPRR.xlsx]monitor!R38C4</stp>
        <stp>Best_Fperiod_override=2gy</stp>
        <tr r="D38" s="10"/>
      </tp>
      <tp>
        <v>15.708190827905216</v>
        <stp/>
        <stp>##V3_BDPV12</stp>
        <stp>S5matr INDEX</stp>
        <stp>best pe ratio</stp>
        <stp>[Macro RPRR.xlsx]monitor!R38C5</stp>
        <stp>Best_Fperiod_override=3gy</stp>
        <tr r="E38" s="10"/>
      </tp>
      <tp>
        <v>-10.951599999999999</v>
        <stp/>
        <stp>##V3_BDPV12</stp>
        <stp>3407 JT Equity</stp>
        <stp>chg PCt 1yr</stp>
        <stp>[Macro RPRR.xlsx]monitor!R85C38</stp>
        <tr r="AL85" s="10"/>
      </tp>
      <tp>
        <v>27.07328</v>
        <stp/>
        <stp>##V3_BDPV12</stp>
        <stp>5707 JT Equity</stp>
        <stp>chg PCt 1yr</stp>
        <stp>[Macro RPRR.xlsx]monitor!R65C38</stp>
        <tr r="AL65" s="10"/>
      </tp>
      <tp>
        <v>-7.2911960000000002</v>
        <stp/>
        <stp>##V3_BDPV12</stp>
        <stp>6367 JT Equity</stp>
        <stp>chg PCt 1yr</stp>
        <stp>[Macro RPRR.xlsx]monitor!R67C38</stp>
        <tr r="AL67" s="10"/>
      </tp>
      <tp>
        <v>-3.9</v>
        <stp/>
        <stp>##V3_BDPV12</stp>
        <stp>IEAC LN EQUITY</stp>
        <stp>MF_tot_1M</stp>
        <stp>[Macro RPRR.xlsx]flows!R27C11</stp>
        <tr r="K27" s="12"/>
      </tp>
      <tp>
        <v>8.6</v>
        <stp/>
        <stp>##V3_BDPV12</stp>
        <stp>spcpeuyy index</stp>
        <stp>CHG neT 1yr</stp>
        <stp>[Macro RPRR.xlsx]eco data!R18C16</stp>
        <tr r="P18" s="8"/>
        <tr r="P18" s="8"/>
      </tp>
      <tp>
        <v>188.83500000000001</v>
        <stp/>
        <stp>##V3_BDPV12</stp>
        <stp>wgdpgree index</stp>
        <stp>px last</stp>
        <stp>[Macro RPRR.xlsx]EU countries!R12C10</stp>
        <tr r="J12" s="11"/>
      </tp>
      <tp>
        <v>22.052422609246136</v>
        <stp/>
        <stp>##V3_BDPV12</stp>
        <stp>S5utiL INDEX</stp>
        <stp>best pe ratio</stp>
        <stp>[Macro RPRR.xlsx]monitor!R47C3</stp>
        <tr r="C47" s="10"/>
      </tp>
      <tp>
        <v>-18.290189999999999</v>
        <stp/>
        <stp>##V3_BDPV12</stp>
        <stp>9064 JT Equity</stp>
        <stp>chg PCt 1yr</stp>
        <stp>[Macro RPRR.xlsx]monitor!R56C38</stp>
        <tr r="AL56" s="10"/>
      </tp>
      <tp>
        <v>14.08892</v>
        <stp/>
        <stp>##V3_BDPV12</stp>
        <stp>8804 JT Equity</stp>
        <stp>chg PCt 1yr</stp>
        <stp>[Macro RPRR.xlsx]monitor!R91C38</stp>
        <tr r="AL91" s="10"/>
      </tp>
      <tp>
        <v>47.071087775728074</v>
        <stp/>
        <stp>##V3_BDPV12</stp>
        <stp>S5rlst INDEX</stp>
        <stp>best pe ratio</stp>
        <stp>[Macro RPRR.xlsx]monitor!R40C3</stp>
        <tr r="C40" s="10"/>
      </tp>
      <tp>
        <v>-1.383178</v>
        <stp/>
        <stp>##V3_BDPV12</stp>
        <stp>5214 JT Equity</stp>
        <stp>chg PCt 1yr</stp>
        <stp>[Macro RPRR.xlsx]monitor!R55C38</stp>
        <tr r="AL55" s="10"/>
      </tp>
      <tp>
        <v>30.506209999999999</v>
        <stp/>
        <stp>##V3_BDPV12</stp>
        <stp>5714 JT Equity</stp>
        <stp>chg PCt 1yr</stp>
        <stp>[Macro RPRR.xlsx]monitor!R70C38</stp>
        <tr r="AL70" s="10"/>
      </tp>
      <tp>
        <v>47.792999999999999</v>
        <stp/>
        <stp>##V3_BDPV12</stp>
        <stp>4324 JT Equity</stp>
        <stp>chg PCt 1yr</stp>
        <stp>[Macro RPRR.xlsx]monitor!R58C38</stp>
        <tr r="AL58" s="10"/>
      </tp>
      <tp>
        <v>-25.513020000000001</v>
        <stp/>
        <stp>##V3_BDPV12</stp>
        <stp>4004 JT Equity</stp>
        <stp>chg PCt 1yr</stp>
        <stp>[Macro RPRR.xlsx]monitor!R30C38</stp>
        <tr r="AL30" s="10"/>
      </tp>
      <tp>
        <v>-21.482759999999999</v>
        <stp/>
        <stp>##V3_BDPV12</stp>
        <stp>6674 JT Equity</stp>
        <stp>chg PCt 1yr</stp>
        <stp>[Macro RPRR.xlsx]monitor!R18C38</stp>
        <tr r="AL18" s="10"/>
      </tp>
      <tp>
        <v>19.421489999999999</v>
        <stp/>
        <stp>##V3_BDPV12</stp>
        <stp>6504 JT Equity</stp>
        <stp>chg PCt 1yr</stp>
        <stp>[Macro RPRR.xlsx]monitor!R64C38</stp>
        <tr r="AL64" s="10"/>
      </tp>
      <tp>
        <v>-6.3152400000000002</v>
        <stp/>
        <stp>##V3_BDPV12</stp>
        <stp>6724 JT Equity</stp>
        <stp>chg PCt 1yr</stp>
        <stp>[Macro RPRR.xlsx]monitor!R66C38</stp>
        <tr r="AL66" s="10"/>
      </tp>
      <tp>
        <v>-20.480789999999999</v>
        <stp/>
        <stp>##V3_BDPV12</stp>
        <stp>6954 JT Equity</stp>
        <stp>chg PCt 1yr</stp>
        <stp>[Macro RPRR.xlsx]monitor!R43C38</stp>
        <tr r="AL43" s="10"/>
      </tp>
      <tp>
        <v>0.6</v>
        <stp/>
        <stp>##V3_BDPV12</stp>
        <stp>EUbdger index</stp>
        <stp>CHG neT 1yr</stp>
        <stp>[Macro RPRR.xlsx]eco data!R6C25</stp>
        <tr r="Y6" s="8"/>
        <tr r="Y6" s="8"/>
      </tp>
      <tp>
        <v>0.08</v>
        <stp/>
        <stp>##V3_BDPV12</stp>
        <stp>CSSMI SW EQUITY</stp>
        <stp>MF_tot_1W</stp>
        <stp>[Macro RPRR.xlsx]flows!R24C10</stp>
        <tr r="J24" s="12"/>
      </tp>
      <tp>
        <v>3.58</v>
        <stp/>
        <stp>##V3_BDPV12</stp>
        <stp>gnzgb10 index</stp>
        <stp>px last</stp>
        <stp>[Macro RPRR.xlsx]EU countries!R30C7</stp>
        <tr r="G30" s="11"/>
      </tp>
      <tp>
        <v>3.6434690000000001</v>
        <stp/>
        <stp>##V3_BDPV12</stp>
        <stp>PSI20 INDEX</stp>
        <stp>CHG PCT 1M</stp>
        <stp>[Macro RPRR.xlsx]eco data!R15C15</stp>
        <tr r="O15" s="8"/>
      </tp>
      <tp>
        <v>-0.09</v>
        <stp/>
        <stp>##V3_BDPV12</stp>
        <stp>ehbbAUy INDEX</stp>
        <stp>PX LAST</stp>
        <stp>[Macro RPRR.xlsx]EU countries!R29C18</stp>
        <tr r="R29" s="11"/>
      </tp>
      <tp>
        <v>-12.62</v>
        <stp/>
        <stp>##V3_BDPV12</stp>
        <stp>ehbbCAY INDEX</stp>
        <stp>PX LAST</stp>
        <stp>[Macro RPRR.xlsx]EU countries!R27C18</stp>
        <tr r="R27" s="11"/>
      </tp>
      <tp>
        <v>-3.58</v>
        <stp/>
        <stp>##V3_BDPV12</stp>
        <stp>ehbbNZy INDEX</stp>
        <stp>PX LAST</stp>
        <stp>[Macro RPRR.xlsx]EU countries!R30C18</stp>
        <tr r="R30" s="11"/>
      </tp>
      <tp>
        <v>0.96</v>
        <stp/>
        <stp>##V3_BDPV12</stp>
        <stp>ehbbKRy INDEX</stp>
        <stp>PX LAST</stp>
        <stp>[Macro RPRR.xlsx]EU countries!R31C18</stp>
        <tr r="R31" s="11"/>
      </tp>
      <tp>
        <v>-0.31413609999999997</v>
        <stp/>
        <stp>##V3_BDPV12</stp>
        <stp>8015 JT Equity</stp>
        <stp>chg PCt 1yr</stp>
        <stp>[Macro RPRR.xlsx]monitor!R39C38</stp>
        <tr r="AL39" s="10"/>
      </tp>
      <tp>
        <v>11.854839999999999</v>
        <stp/>
        <stp>##V3_BDPV12</stp>
        <stp>8035 JT Equity</stp>
        <stp>chg PCt 1yr</stp>
        <stp>[Macro RPRR.xlsx]monitor!R29C38</stp>
        <tr r="AL29" s="10"/>
      </tp>
      <tp>
        <v>32.565280000000001</v>
        <stp/>
        <stp>##V3_BDPV12</stp>
        <stp>8795 JT Equity</stp>
        <stp>chg PCt 1yr</stp>
        <stp>[Macro RPRR.xlsx]monitor!R80C38</stp>
        <tr r="AL80" s="10"/>
      </tp>
      <tp>
        <v>0.56000000000000005</v>
        <stp/>
        <stp>##V3_BDPV12</stp>
        <stp>ehbbSEy INDEX</stp>
        <stp>PX LAST</stp>
        <stp>[Macro RPRR.xlsx]EU countries!R28C18</stp>
        <tr r="R28" s="11"/>
      </tp>
      <tp>
        <v>-1.7667839999999999</v>
        <stp/>
        <stp>##V3_BDPV12</stp>
        <stp>4005 JT Equity</stp>
        <stp>chg PCt 1yr</stp>
        <stp>[Macro RPRR.xlsx]monitor!R48C38</stp>
        <tr r="AL48" s="10"/>
      </tp>
      <tp>
        <v>-30.619869999999999</v>
        <stp/>
        <stp>##V3_BDPV12</stp>
        <stp>4755 JT Equity</stp>
        <stp>chg PCt 1yr</stp>
        <stp>[Macro RPRR.xlsx]monitor!R81C38</stp>
        <tr r="AL81" s="10"/>
      </tp>
      <tp>
        <v>-21.783300000000001</v>
        <stp/>
        <stp>##V3_BDPV12</stp>
        <stp>7205 JT Equity</stp>
        <stp>chg PCt 1yr</stp>
        <stp>[Macro RPRR.xlsx]monitor!R75C38</stp>
        <tr r="AL75" s="10"/>
      </tp>
      <tp>
        <v>-1.3740460000000001</v>
        <stp/>
        <stp>##V3_BDPV12</stp>
        <stp>6305 JT Equity</stp>
        <stp>chg PCt 1yr</stp>
        <stp>[Macro RPRR.xlsx]monitor!R77C38</stp>
        <tr r="AL77" s="10"/>
      </tp>
      <tp>
        <v>-11.2844</v>
        <stp/>
        <stp>##V3_BDPV12</stp>
        <stp>6645 JT Equity</stp>
        <stp>chg PCt 1yr</stp>
        <stp>[Macro RPRR.xlsx]monitor!R89C38</stp>
        <tr r="AL89" s="10"/>
      </tp>
      <tp>
        <v>-2.27</v>
        <stp/>
        <stp>##V3_BDPV12</stp>
        <stp>ehbbchy INDEX</stp>
        <stp>PX LAST</stp>
        <stp>[Macro RPRR.xlsx]EU countries!R18C18</stp>
        <tr r="R18" s="11"/>
      </tp>
      <tp>
        <v>-3.83</v>
        <stp/>
        <stp>##V3_BDPV12</stp>
        <stp>ehbbcny INDEX</stp>
        <stp>PX LAST</stp>
        <stp>[Macro RPRR.xlsx]EU countries!R22C18</stp>
        <tr r="R22" s="11"/>
      </tp>
      <tp>
        <v>-6.36</v>
        <stp/>
        <stp>##V3_BDPV12</stp>
        <stp>ehbbjpy INDEX</stp>
        <stp>PX LAST</stp>
        <stp>[Macro RPRR.xlsx]EU countries!R21C18</stp>
        <tr r="R21" s="11"/>
      </tp>
      <tp>
        <v>49.76</v>
        <stp/>
        <stp>##V3_BDPV12</stp>
        <stp>INDA US EQUITY</stp>
        <stp>MF_tot_1M</stp>
        <stp>[Macro RPRR.xlsx]flows!R38C11</stp>
        <tr r="K38" s="12"/>
      </tp>
      <tp t="s">
        <v>Internet</v>
        <stp/>
        <stp>##V3_BDPV12</stp>
        <stp>4704 JT Equity</stp>
        <stp>industry group</stp>
        <stp>[Macro RPRR.xlsx]monitor!R203C40</stp>
        <tr r="AN203" s="10"/>
      </tp>
      <tp>
        <v>47.8</v>
        <stp/>
        <stp>##V3_BDPV12</stp>
        <stp>gddbchina index</stp>
        <stp>px last</stp>
        <stp>[Macro RPRR.xlsx]EU countries!R22C17</stp>
        <tr r="Q22" s="11"/>
      </tp>
      <tp t="s">
        <v>Agriculture</v>
        <stp/>
        <stp>##V3_BDPV12</stp>
        <stp>2914 JT Equity</stp>
        <stp>industry group</stp>
        <stp>[Macro RPRR.xlsx]monitor!R199C40</stp>
        <tr r="AN199" s="10"/>
      </tp>
      <tp t="s">
        <v>Telecommunications</v>
        <stp/>
        <stp>##V3_BDPV12</stp>
        <stp>9434 JT Equity</stp>
        <stp>industry group</stp>
        <stp>[Macro RPRR.xlsx]monitor!R192C40</stp>
        <tr r="AN192" s="10"/>
      </tp>
      <tp t="s">
        <v>Diversified Finan Serv</v>
        <stp/>
        <stp>##V3_BDPV12</stp>
        <stp>8604 JT Equity</stp>
        <stp>industry group</stp>
        <stp>[Macro RPRR.xlsx]monitor!R150C40</stp>
        <tr r="AN150" s="10"/>
      </tp>
      <tp t="s">
        <v>Banks</v>
        <stp/>
        <stp>##V3_BDPV12</stp>
        <stp>8354 JT Equity</stp>
        <stp>industry group</stp>
        <stp>[Macro RPRR.xlsx]monitor!R119C40</stp>
        <tr r="AN119" s="10"/>
      </tp>
      <tp t="s">
        <v>Banks</v>
        <stp/>
        <stp>##V3_BDPV12</stp>
        <stp>8304 JT Equity</stp>
        <stp>industry group</stp>
        <stp>[Macro RPRR.xlsx]monitor!R166C40</stp>
        <tr r="AN166" s="10"/>
      </tp>
      <tp>
        <v>131.85</v>
        <stp/>
        <stp>##V3_BDPV12</stp>
        <stp>ATWICNY curncy</stp>
        <stp>px last</stp>
        <stp>[Macro RPRR.xlsx]eco data!R27C22</stp>
        <tr r="V27" s="8"/>
      </tp>
      <tp>
        <v>6.0000000000000001E-3</v>
        <stp/>
        <stp>##V3_BDPV12</stp>
        <stp>Gjgb2 index</stp>
        <stp>CHG neT 5d</stp>
        <stp>[Macro RPRR.xlsx]eco data!R38C5</stp>
        <tr r="E38" s="8"/>
      </tp>
      <tp>
        <v>-3.4000000000000002E-2</v>
        <stp/>
        <stp>##V3_BDPV12</stp>
        <stp>Gjgb2 index</stp>
        <stp>CHG neT 1m</stp>
        <stp>[Macro RPRR.xlsx]eco data!R38C6</stp>
        <tr r="F38" s="8"/>
      </tp>
      <tp>
        <v>425.88900000000001</v>
        <stp/>
        <stp>##V3_BDPV12</stp>
        <stp>wgdpirel index</stp>
        <stp>px last</stp>
        <stp>[Macro RPRR.xlsx]EU countries!R14C10</stp>
        <tr r="J14" s="11"/>
      </tp>
      <tp>
        <v>2660.2449999999999</v>
        <stp/>
        <stp>##V3_BDPV12</stp>
        <stp>wgdpindi index</stp>
        <stp>px last</stp>
        <stp>[Macro RPRR.xlsx]EU countries!R23C10</stp>
        <tr r="J23" s="11"/>
      </tp>
      <tp>
        <v>7.5</v>
        <stp/>
        <stp>##V3_BDPV12</stp>
        <stp>ehgddey index</stp>
        <stp>CHG neT 1yr</stp>
        <stp>[Macro RPRR.xlsx]eco data!R5C25</stp>
        <tr r="Y5" s="8"/>
        <tr r="Y5" s="8"/>
      </tp>
      <tp>
        <v>6.5263999999999998</v>
        <stp/>
        <stp>##V3_BDPV12</stp>
        <stp>S5utiL INDEX</stp>
        <stp>chg PCt 1m</stp>
        <stp>[Macro RPRR.xlsx]monitor!R47C6</stp>
        <tr r="F47" s="10"/>
      </tp>
      <tp>
        <v>12.344749999999999</v>
        <stp/>
        <stp>##V3_BDPV12</stp>
        <stp>S5utiL INDEX</stp>
        <stp>chg PCt 6m</stp>
        <stp>[Macro RPRR.xlsx]monitor!R47C7</stp>
        <tr r="G47" s="10"/>
      </tp>
      <tp>
        <v>2.86</v>
        <stp/>
        <stp>##V3_BDPV12</stp>
        <stp>ehcajp INDEX</stp>
        <stp>PX LAST</stp>
        <stp>[Macro RPRR.xlsx]eco data!R34C4</stp>
        <tr r="D34" s="8"/>
      </tp>
      <tp>
        <v>2.59</v>
        <stp/>
        <stp>##V3_BDPV12</stp>
        <stp>ehcaeu INDEX</stp>
        <stp>PX LAST</stp>
        <stp>[Macro RPRR.xlsx]eco data!R21C4</stp>
        <tr r="D21" s="8"/>
      </tp>
      <tp>
        <v>0.6</v>
        <stp/>
        <stp>##V3_BDPV12</stp>
        <stp>IGLT LN EQUITY</stp>
        <stp>MF_tot_1W</stp>
        <stp>[Macro RPRR.xlsx]flows!R31C10</stp>
        <tr r="J31" s="12"/>
      </tp>
      <tp t="s">
        <v>Chemicals</v>
        <stp/>
        <stp>##V3_BDPV12</stp>
        <stp>3405 JT Equity</stp>
        <stp>industry group</stp>
        <stp>[Macro RPRR.xlsx]monitor!R170C40</stp>
        <tr r="AN170" s="10"/>
      </tp>
      <tp t="s">
        <v>Auto Parts&amp;Equipment</v>
        <stp/>
        <stp>##V3_BDPV12</stp>
        <stp>3105 JT Equity</stp>
        <stp>industry group</stp>
        <stp>[Macro RPRR.xlsx]monitor!R172C40</stp>
        <tr r="AN172" s="10"/>
      </tp>
      <tp t="s">
        <v>Oil&amp;Gas</v>
        <stp/>
        <stp>##V3_BDPV12</stp>
        <stp>1605 JT Equity</stp>
        <stp>industry group</stp>
        <stp>[Macro RPRR.xlsx]monitor!R138C40</stp>
        <tr r="AN138" s="10"/>
      </tp>
      <tp t="s">
        <v>Home Builders</v>
        <stp/>
        <stp>##V3_BDPV12</stp>
        <stp>1925 JT Equity</stp>
        <stp>industry group</stp>
        <stp>[Macro RPRR.xlsx]monitor!R156C40</stp>
        <tr r="AN156" s="10"/>
      </tp>
      <tp t="s">
        <v>Transportation</v>
        <stp/>
        <stp>##V3_BDPV12</stp>
        <stp>9005 JT Equity</stp>
        <stp>industry group</stp>
        <stp>[Macro RPRR.xlsx]monitor!R222C40</stp>
        <tr r="AN222" s="10"/>
      </tp>
      <tp t="s">
        <v>Commercial Services</v>
        <stp/>
        <stp>##V3_BDPV12</stp>
        <stp>9735 JT Equity</stp>
        <stp>industry group</stp>
        <stp>[Macro RPRR.xlsx]monitor!R197C40</stp>
        <tr r="AN197" s="10"/>
      </tp>
      <tp t="s">
        <v>Banks</v>
        <stp/>
        <stp>##V3_BDPV12</stp>
        <stp>8355 JT Equity</stp>
        <stp>industry group</stp>
        <stp>[Macro RPRR.xlsx]monitor!R140C40</stp>
        <tr r="AN140" s="10"/>
      </tp>
      <tp t="s">
        <v>Insurance</v>
        <stp/>
        <stp>##V3_BDPV12</stp>
        <stp>8725 JT Equity</stp>
        <stp>industry group</stp>
        <stp>[Macro RPRR.xlsx]monitor!R191C40</stp>
        <tr r="AN191" s="10"/>
      </tp>
      <tp>
        <v>2.0259999999999998</v>
        <stp/>
        <stp>##V3_BDPV12</stp>
        <stp>gebr10y index</stp>
        <stp>chg net 5yr</stp>
        <stp>[Macro RPRR.xlsx]monitor!R20C7</stp>
        <tr r="G20" s="10"/>
      </tp>
      <tp>
        <v>2.8639999999999999</v>
        <stp/>
        <stp>##V3_BDPV12</stp>
        <stp>gebr10y index</stp>
        <stp>chg net 1yr</stp>
        <stp>[Macro RPRR.xlsx]monitor!R20C6</stp>
        <tr r="F20" s="10"/>
      </tp>
      <tp>
        <v>17.819261101783429</v>
        <stp/>
        <stp>##V3_BDPV12</stp>
        <stp>SMI index</stp>
        <stp>best pe ratio</stp>
        <stp>[Macro RPRR.xlsx]monitor!R11C13</stp>
        <tr r="M11" s="10"/>
      </tp>
      <tp t="s">
        <v>Energy-Alternate Sources</v>
        <stp/>
        <stp>##V3_BDPV12</stp>
        <stp>601012 CG Equity</stp>
        <stp>industry group</stp>
        <stp>[Macro RPRR.xlsx]monitor!R5C46</stp>
        <tr r="AT5" s="10"/>
      </tp>
      <tp>
        <v>12.581715534735658</v>
        <stp/>
        <stp>##V3_BDPV12</stp>
        <stp>IBEX index</stp>
        <stp>pe ratio</stp>
        <stp>[Macro RPRR.xlsx]eco data!R28C13</stp>
        <tr r="M28" s="8"/>
      </tp>
      <tp>
        <v>-18.312560000000001</v>
        <stp/>
        <stp>##V3_BDPV12</stp>
        <stp>6857 JT Equity</stp>
        <stp>chg PCt 1yr</stp>
        <stp>[Macro RPRR.xlsx]monitor!R8C38</stp>
        <tr r="AL8" s="10"/>
      </tp>
      <tp>
        <v>-1.06</v>
        <stp/>
        <stp>##V3_BDPV12</stp>
        <stp>TWI BPSP curncy</stp>
        <stp>CHG PCT 1M</stp>
        <stp>[Macro RPRR.xlsx]eco data!R53C6</stp>
        <tr r="F53" s="8"/>
      </tp>
      <tp>
        <v>-3.32768</v>
        <stp/>
        <stp>##V3_BDPV12</stp>
        <stp>SPX index</stp>
        <stp>chg PCt 6m</stp>
        <stp>[Macro RPRR.xlsx]monitor!R4C15</stp>
        <tr r="O4" s="10"/>
      </tp>
      <tp>
        <v>-2.61436</v>
        <stp/>
        <stp>##V3_BDPV12</stp>
        <stp>SPX index</stp>
        <stp>chg PCt 1m</stp>
        <stp>[Macro RPRR.xlsx]monitor!R4C14</stp>
        <tr r="N4" s="10"/>
      </tp>
      <tp>
        <v>-1.1499999999999999</v>
        <stp/>
        <stp>##V3_BDPV12</stp>
        <stp>TWI BPSP curncy</stp>
        <stp>CHG PCT 5d</stp>
        <stp>[Macro RPRR.xlsx]eco data!R53C5</stp>
        <tr r="E53" s="8"/>
      </tp>
      <tp>
        <v>0.59199999999999997</v>
        <stp/>
        <stp>##V3_BDPV12</stp>
        <stp>gacgb10 index</stp>
        <stp>chg net 5yr</stp>
        <stp>[Macro RPRR.xlsx]monitor!R15C7</stp>
        <tr r="G15" s="10"/>
      </tp>
      <tp>
        <v>1.4319999999999999</v>
        <stp/>
        <stp>##V3_BDPV12</stp>
        <stp>gacgb10 index</stp>
        <stp>chg net 1yr</stp>
        <stp>[Macro RPRR.xlsx]monitor!R15C6</stp>
        <tr r="F15" s="10"/>
      </tp>
      <tp>
        <v>-5.1100000000000003</v>
        <stp/>
        <stp>##V3_BDPV12</stp>
        <stp>ehbbeu INDEX</stp>
        <stp>PX LAST</stp>
        <stp>[Macro RPRR.xlsx]eco data!R20C4</stp>
        <tr r="D20" s="8"/>
      </tp>
      <tp>
        <v>7.4</v>
        <stp/>
        <stp>##V3_BDPV12</stp>
        <stp>ECCPEMUY INDEX</stp>
        <stp>px last</stp>
        <stp>[Macro RPRR.xlsx]EU countries!R5C15</stp>
        <tr r="O5" s="11"/>
      </tp>
      <tp t="s">
        <v>Banks</v>
        <stp/>
        <stp>##V3_BDPV12</stp>
        <stp>7186 JT Equity</stp>
        <stp>industry group</stp>
        <stp>[Macro RPRR.xlsx]monitor!R126C40</stp>
        <tr r="AN126" s="10"/>
      </tp>
      <tp t="s">
        <v>Pharmaceuticals</v>
        <stp/>
        <stp>##V3_BDPV12</stp>
        <stp>4506 JT Equity</stp>
        <stp>industry group</stp>
        <stp>[Macro RPRR.xlsx]monitor!R121C40</stp>
        <tr r="AN121" s="10"/>
      </tp>
      <tp t="s">
        <v>Retail</v>
        <stp/>
        <stp>##V3_BDPV12</stp>
        <stp>3086 JT Equity</stp>
        <stp>industry group</stp>
        <stp>[Macro RPRR.xlsx]monitor!R164C40</stp>
        <tr r="AN164" s="10"/>
      </tp>
      <tp>
        <v>-2.1501389999999998</v>
        <stp/>
        <stp>##V3_BDPV12</stp>
        <stp>IBEX index</stp>
        <stp>chg PCt 6m</stp>
        <stp>[Macro RPRR.xlsx]monitor!R9C15</stp>
        <tr r="O9" s="10"/>
      </tp>
      <tp>
        <v>2.6828660000000002</v>
        <stp/>
        <stp>##V3_BDPV12</stp>
        <stp>IBEX index</stp>
        <stp>chg PCt 1m</stp>
        <stp>[Macro RPRR.xlsx]monitor!R9C14</stp>
        <tr r="N9" s="10"/>
      </tp>
      <tp t="s">
        <v>Banks</v>
        <stp/>
        <stp>##V3_BDPV12</stp>
        <stp>8306 JT Equity</stp>
        <stp>industry group</stp>
        <stp>[Macro RPRR.xlsx]monitor!R108C40</stp>
        <tr r="AN108" s="10"/>
      </tp>
      <tp t="s">
        <v>Banks</v>
        <stp/>
        <stp>##V3_BDPV12</stp>
        <stp>8316 JT Equity</stp>
        <stp>industry group</stp>
        <stp>[Macro RPRR.xlsx]monitor!R100C40</stp>
        <tr r="AN100" s="10"/>
      </tp>
      <tp t="s">
        <v>Insurance</v>
        <stp/>
        <stp>##V3_BDPV12</stp>
        <stp>8766 JT Equity</stp>
        <stp>industry group</stp>
        <stp>[Macro RPRR.xlsx]monitor!R198C40</stp>
        <tr r="AN198" s="10"/>
      </tp>
      <tp t="s">
        <v>Chemicals</v>
        <stp/>
        <stp>##V3_BDPV12</stp>
        <stp>600346 CG Equity</stp>
        <stp>industry group</stp>
        <stp>[Macro RPRR.xlsx]monitor!R3C46</stp>
        <tr r="AT3" s="10"/>
      </tp>
      <tp t="s">
        <v>Chemicals</v>
        <stp/>
        <stp>##V3_BDPV12</stp>
        <stp>600309 CG Equity</stp>
        <stp>industry group</stp>
        <stp>[Macro RPRR.xlsx]monitor!R7C46</stp>
        <tr r="AT7" s="10"/>
      </tp>
      <tp>
        <v>-4.87</v>
        <stp/>
        <stp>##V3_BDPV12</stp>
        <stp>TWI JPSP curncy</stp>
        <stp>CHG PCT 1M</stp>
        <stp>[Macro RPRR.xlsx]eco data!R40C6</stp>
        <tr r="F40" s="8"/>
      </tp>
      <tp>
        <v>0.94234399999999996</v>
        <stp/>
        <stp>##V3_BDPV12</stp>
        <stp>gtdem10y govt</stp>
        <stp>bid yield</stp>
        <stp>[Macro RPRR.xlsx]eco data!R26C4</stp>
        <tr r="D26" s="8"/>
      </tp>
      <tp>
        <v>-1.34</v>
        <stp/>
        <stp>##V3_BDPV12</stp>
        <stp>TWI JPSP curncy</stp>
        <stp>CHG PCT 5d</stp>
        <stp>[Macro RPRR.xlsx]eco data!R40C5</stp>
        <tr r="E40" s="8"/>
      </tp>
      <tp t="s">
        <v>#N/A N/A</v>
        <stp/>
        <stp>##V3_BDPV12</stp>
        <stp>CNBI3MO index</stp>
        <stp>CHG neT 1yr</stp>
        <stp>[Macro RPRR.xlsx]eco data!R23C25</stp>
        <tr r="Y23" s="8"/>
      </tp>
      <tp>
        <v>5.7297539999999998</v>
        <stp/>
        <stp>##V3_BDPV12</stp>
        <stp>5108 JT Equity</stp>
        <stp>chg PCt 1yr</stp>
        <stp>[Macro RPRR.xlsx]monitor!R32C38</stp>
        <tr r="AL32" s="10"/>
      </tp>
      <tp>
        <v>-3.8256749999999999</v>
        <stp/>
        <stp>##V3_BDPV12</stp>
        <stp>6098 JT Equity</stp>
        <stp>chg PCt 1yr</stp>
        <stp>[Macro RPRR.xlsx]monitor!R40C38</stp>
        <tr r="AL40" s="10"/>
      </tp>
      <tp>
        <v>-3.7542659999999999</v>
        <stp/>
        <stp>##V3_BDPV12</stp>
        <stp>6758 JT Equity</stp>
        <stp>chg PCt 1yr</stp>
        <stp>[Macro RPRR.xlsx]monitor!R45C38</stp>
        <tr r="AL45" s="10"/>
      </tp>
      <tp>
        <v>-6.0021440000000004</v>
        <stp/>
        <stp>##V3_BDPV12</stp>
        <stp>6988 JT Equity</stp>
        <stp>chg PCt 1yr</stp>
        <stp>[Macro RPRR.xlsx]monitor!R20C38</stp>
        <tr r="AL20" s="10"/>
      </tp>
      <tp>
        <v>1.95</v>
        <stp/>
        <stp>##V3_BDPV12</stp>
        <stp>DAXEX GY EQUITY</stp>
        <stp>MF_tot_1M</stp>
        <stp>[Macro RPRR.xlsx]flows!R21C11</stp>
        <tr r="K21" s="12"/>
      </tp>
      <tp>
        <v>7.2220843336126599</v>
        <stp/>
        <stp>##V3_BDPV12</stp>
        <stp>IBOV index</stp>
        <stp>best pe ratio</stp>
        <stp>[Macro RPRR.xlsx]monitor!R20C13</stp>
        <tr r="M20" s="10"/>
      </tp>
      <tp t="s">
        <v>Auto Manufacturers</v>
        <stp/>
        <stp>##V3_BDPV12</stp>
        <stp>7267 JT Equity</stp>
        <stp>industry group</stp>
        <stp>[Macro RPRR.xlsx]monitor!R135C40</stp>
        <tr r="AN135" s="10"/>
      </tp>
      <tp t="s">
        <v>Pharmaceuticals</v>
        <stp/>
        <stp>##V3_BDPV12</stp>
        <stp>4507 JT Equity</stp>
        <stp>industry group</stp>
        <stp>[Macro RPRR.xlsx]monitor!R182C40</stp>
        <tr r="AN182" s="10"/>
      </tp>
      <tp t="s">
        <v>Transportation</v>
        <stp/>
        <stp>##V3_BDPV12</stp>
        <stp>9007 JT Equity</stp>
        <stp>industry group</stp>
        <stp>[Macro RPRR.xlsx]monitor!R151C40</stp>
        <tr r="AN151" s="10"/>
      </tp>
      <tp t="s">
        <v>Food</v>
        <stp/>
        <stp>##V3_BDPV12</stp>
        <stp>8267 JT Equity</stp>
        <stp>industry group</stp>
        <stp>[Macro RPRR.xlsx]monitor!R115C40</stp>
        <tr r="AN115" s="10"/>
      </tp>
      <tp t="s">
        <v>Diversified Finan Serv</v>
        <stp/>
        <stp>##V3_BDPV12</stp>
        <stp>8697 JT Equity</stp>
        <stp>industry group</stp>
        <stp>[Macro RPRR.xlsx]monitor!R118C40</stp>
        <tr r="AN118" s="10"/>
      </tp>
      <tp>
        <v>94.492400000000004</v>
        <stp/>
        <stp>##V3_BDPV12</stp>
        <stp>CEEREU curncy</stp>
        <stp>px last</stp>
        <stp>[Macro RPRR.xlsx]eco data!R27C13</stp>
        <tr r="M27" s="8"/>
      </tp>
      <tp>
        <v>94.492400000000004</v>
        <stp/>
        <stp>##V3_BDPV12</stp>
        <stp>CEEREU curncy</stp>
        <stp>px last</stp>
        <stp>[Macro RPRR.xlsx]eco data!R14C13</stp>
        <tr r="M14" s="8"/>
      </tp>
      <tp>
        <v>94.492400000000004</v>
        <stp/>
        <stp>##V3_BDPV12</stp>
        <stp>CEEREU curncy</stp>
        <stp>px last</stp>
        <stp>[Macro RPRR.xlsx]eco data!R40C13</stp>
        <tr r="M40" s="8"/>
      </tp>
      <tp>
        <v>94.492400000000004</v>
        <stp/>
        <stp>##V3_BDPV12</stp>
        <stp>CEEREU curncy</stp>
        <stp>px last</stp>
        <stp>[Macro RPRR.xlsx]eco data!R53C13</stp>
        <tr r="M53" s="8"/>
      </tp>
      <tp>
        <v>94.492400000000004</v>
        <stp/>
        <stp>##V3_BDPV12</stp>
        <stp>CEEREU curncy</stp>
        <stp>px last</stp>
        <stp>[Macro RPRR.xlsx]eco data!R14C22</stp>
        <tr r="V14" s="8"/>
      </tp>
      <tp>
        <v>10.89</v>
        <stp/>
        <stp>##V3_BDPV12</stp>
        <stp>rucpiyoy index</stp>
        <stp>CHG neT 1yr</stp>
        <stp>[Macro RPRR.xlsx]eco data!R31C25</stp>
        <tr r="Y31" s="8"/>
        <tr r="Y31" s="8"/>
      </tp>
      <tp>
        <v>-3.7</v>
        <stp/>
        <stp>##V3_BDPV12</stp>
        <stp>EUbdger index</stp>
        <stp>px last</stp>
        <stp>[Macro RPRR.xlsx]eco data!R6C22</stp>
        <tr r="V6" s="8"/>
      </tp>
      <tp>
        <v>-19.4773</v>
        <stp/>
        <stp>##V3_BDPV12</stp>
        <stp>3659 JT Equity</stp>
        <stp>chg PCt 1yr</stp>
        <stp>[Macro RPRR.xlsx]monitor!R22C38</stp>
        <tr r="AL22" s="10"/>
      </tp>
      <tp>
        <v>-5.5535059999999996</v>
        <stp/>
        <stp>##V3_BDPV12</stp>
        <stp>4689 JT Equity</stp>
        <stp>chg PCt 1yr</stp>
        <stp>[Macro RPRR.xlsx]monitor!R78C38</stp>
        <tr r="AL78" s="10"/>
      </tp>
      <tp>
        <v>-7.5193089999999998</v>
        <stp/>
        <stp>##V3_BDPV12</stp>
        <stp>7269 JT Equity</stp>
        <stp>chg PCt 1yr</stp>
        <stp>[Macro RPRR.xlsx]monitor!R46C38</stp>
        <tr r="AL46" s="10"/>
      </tp>
      <tp>
        <v>1.3956</v>
        <stp/>
        <stp>##V3_BDPV12</stp>
        <stp>usgg10yr index</stp>
        <stp>chg net 1yr</stp>
        <stp>[Macro RPRR.xlsx]monitor!R4C6</stp>
        <tr r="F4" s="10"/>
      </tp>
      <tp>
        <v>0.68559999999999999</v>
        <stp/>
        <stp>##V3_BDPV12</stp>
        <stp>usgg10yr index</stp>
        <stp>chg net 5yr</stp>
        <stp>[Macro RPRR.xlsx]monitor!R4C7</stp>
        <tr r="G4" s="10"/>
      </tp>
      <tp>
        <v>-6.6278220000000001</v>
        <stp/>
        <stp>##V3_BDPV12</stp>
        <stp>6479 JT Equity</stp>
        <stp>chg PCt 1yr</stp>
        <stp>[Macro RPRR.xlsx]monitor!R42C38</stp>
        <tr r="AL42" s="10"/>
      </tp>
      <tp>
        <v>-7.3899999999999999E-3</v>
        <stp/>
        <stp>##V3_BDPV12</stp>
        <stp>Jysoc index</stp>
        <stp>CHG neT 1m</stp>
        <stp>[Macro RPRR.xlsx]eco data!R36C6</stp>
        <tr r="F36" s="8"/>
        <tr r="F36" s="8"/>
      </tp>
      <tp>
        <v>5.5</v>
        <stp/>
        <stp>##V3_BDPV12</stp>
        <stp>EUGNesy index</stp>
        <stp>px last</stp>
        <stp>[Macro RPRR.xlsx]EU countries!R10C14</stp>
        <tr r="N10" s="11"/>
      </tp>
      <tp>
        <v>7.7</v>
        <stp/>
        <stp>##V3_BDPV12</stp>
        <stp>EUGNgry index</stp>
        <stp>px last</stp>
        <stp>[Macro RPRR.xlsx]EU countries!R12C14</stp>
        <tr r="N12" s="11"/>
      </tp>
      <tp>
        <v>1.1100000000000001E-3</v>
        <stp/>
        <stp>##V3_BDPV12</stp>
        <stp>Jysoc index</stp>
        <stp>CHG neT 5d</stp>
        <stp>[Macro RPRR.xlsx]eco data!R36C5</stp>
        <tr r="E36" s="8"/>
        <tr r="E36" s="8"/>
      </tp>
      <tp>
        <v>0.16</v>
        <stp/>
        <stp>##V3_BDPV12</stp>
        <stp>EWI US EQUITY</stp>
        <stp>MF_tot_1W</stp>
        <stp>[Macro RPRR.xlsx]flows!R25C10</stp>
        <tr r="J25" s="12"/>
      </tp>
      <tp>
        <v>6.4</v>
        <stp/>
        <stp>##V3_BDPV12</stp>
        <stp>EUGNnly index</stp>
        <stp>px last</stp>
        <stp>[Macro RPRR.xlsx]EU countries!R11C14</stp>
        <tr r="N11" s="11"/>
      </tp>
      <tp>
        <v>10</v>
        <stp/>
        <stp>##V3_BDPV12</stp>
        <stp>EUGNiey index</stp>
        <stp>px last</stp>
        <stp>[Macro RPRR.xlsx]EU countries!R14C14</stp>
        <tr r="N14" s="11"/>
      </tp>
      <tp>
        <v>5.9</v>
        <stp/>
        <stp>##V3_BDPV12</stp>
        <stp>EUGNpty index</stp>
        <stp>px last</stp>
        <stp>[Macro RPRR.xlsx]EU countries!R13C14</stp>
        <tr r="N13" s="11"/>
      </tp>
      <tp>
        <v>52.1</v>
        <stp/>
        <stp>##V3_BDPV12</stp>
        <stp>EUdb60nl index</stp>
        <stp>px last</stp>
        <stp>[Macro RPRR.xlsx]eco data!R7C30</stp>
        <tr r="AD7" s="8"/>
      </tp>
      <tp t="s">
        <v>Electronics</v>
        <stp/>
        <stp>##V3_BDPV12</stp>
        <stp>6770 JT Equity</stp>
        <stp>industry group</stp>
        <stp>[Macro RPRR.xlsx]monitor!R111C40</stp>
        <tr r="AN111" s="10"/>
      </tp>
      <tp t="s">
        <v>Oil&amp;Gas</v>
        <stp/>
        <stp>##V3_BDPV12</stp>
        <stp>5020 JT Equity</stp>
        <stp>industry group</stp>
        <stp>[Macro RPRR.xlsx]monitor!R120C40</stp>
        <tr r="AN120" s="10"/>
      </tp>
      <tp t="s">
        <v>Auto Manufacturers</v>
        <stp/>
        <stp>##V3_BDPV12</stp>
        <stp>7270 JT Equity</stp>
        <stp>industry group</stp>
        <stp>[Macro RPRR.xlsx]monitor!R207C40</stp>
        <tr r="AN207" s="10"/>
      </tp>
      <tp t="s">
        <v>Transportation</v>
        <stp/>
        <stp>##V3_BDPV12</stp>
        <stp>9020 JT Equity</stp>
        <stp>industry group</stp>
        <stp>[Macro RPRR.xlsx]monitor!R218C40</stp>
        <tr r="AN218" s="10"/>
      </tp>
      <tp t="s">
        <v>Insurance</v>
        <stp/>
        <stp>##V3_BDPV12</stp>
        <stp>8630 JT Equity</stp>
        <stp>industry group</stp>
        <stp>[Macro RPRR.xlsx]monitor!R160C40</stp>
        <tr r="AN160" s="10"/>
      </tp>
      <tp t="s">
        <v>Insurance</v>
        <stp/>
        <stp>##V3_BDPV12</stp>
        <stp>8750 JT Equity</stp>
        <stp>industry group</stp>
        <stp>[Macro RPRR.xlsx]monitor!R105C40</stp>
        <tr r="AN105" s="10"/>
      </tp>
      <tp t="s">
        <v>Real Estate</v>
        <stp/>
        <stp>##V3_BDPV12</stp>
        <stp>8830 JT Equity</stp>
        <stp>industry group</stp>
        <stp>[Macro RPRR.xlsx]monitor!R113C40</stp>
        <tr r="AN113" s="10"/>
      </tp>
      <tp t="s">
        <v>Beverages</v>
        <stp/>
        <stp>##V3_BDPV12</stp>
        <stp>000568 CS Equity</stp>
        <stp>industry group</stp>
        <stp>[Macro RPRR.xlsx]monitor!R6C46</stp>
        <tr r="AT6" s="10"/>
      </tp>
      <tp>
        <v>140.44390000000001</v>
        <stp/>
        <stp>##V3_BDPV12</stp>
        <stp>9101 JT Equity</stp>
        <stp>chg PCt 1yr</stp>
        <stp>[Macro RPRR.xlsx]monitor!R2C38</stp>
        <tr r="AL2" s="10"/>
      </tp>
      <tp>
        <v>153.73650000000001</v>
        <stp/>
        <stp>##V3_BDPV12</stp>
        <stp>9107 JT Equity</stp>
        <stp>chg PCt 1yr</stp>
        <stp>[Macro RPRR.xlsx]monitor!R3C38</stp>
        <tr r="AL3" s="10"/>
      </tp>
      <tp>
        <v>-15.140420000000001</v>
        <stp/>
        <stp>##V3_BDPV12</stp>
        <stp>7004 JT Equity</stp>
        <stp>chg PCt 1yr</stp>
        <stp>[Macro RPRR.xlsx]monitor!R4C38</stp>
        <tr r="AL4" s="10"/>
      </tp>
      <tp>
        <v>133.17009999999999</v>
        <stp/>
        <stp>##V3_BDPV12</stp>
        <stp>9104 JT Equity</stp>
        <stp>chg PCt 1yr</stp>
        <stp>[Macro RPRR.xlsx]monitor!R9C38</stp>
        <tr r="AL9" s="10"/>
      </tp>
      <tp>
        <v>6.2859999999999999E-2</v>
        <stp/>
        <stp>##V3_BDPV12</stp>
        <stp>sp0003m INDEX</stp>
        <stp>px last</stp>
        <stp>[Macro RPRR.xlsx]eco data!R24C13</stp>
        <tr r="M24" s="8"/>
      </tp>
      <tp>
        <v>6.2859999999999999E-2</v>
        <stp/>
        <stp>##V3_BDPV12</stp>
        <stp>il0003m INDEX</stp>
        <stp>px last</stp>
        <stp>[Macro RPRR.xlsx]eco data!R37C13</stp>
        <tr r="M37" s="8"/>
      </tp>
      <tp>
        <v>0.87532350000000003</v>
        <stp/>
        <stp>##V3_BDPV12</stp>
        <stp>ASX index</stp>
        <stp>chg PCt 1m</stp>
        <stp>[Macro RPRR.xlsx]monitor!R24C14</stp>
        <tr r="N24" s="10"/>
      </tp>
      <tp>
        <v>5.97</v>
        <stp/>
        <stp>##V3_BDPV12</stp>
        <stp>SWcpiyoy INDEX</stp>
        <stp>PX LAST</stp>
        <stp>[Macro RPRR.xlsx]EU countries!R28C15</stp>
        <tr r="O28" s="11"/>
      </tp>
      <tp>
        <v>2.3161839999999998</v>
        <stp/>
        <stp>##V3_BDPV12</stp>
        <stp>ASX index</stp>
        <stp>chg PCt 6m</stp>
        <stp>[Macro RPRR.xlsx]monitor!R24C15</stp>
        <tr r="O24" s="10"/>
      </tp>
      <tp>
        <v>12.420218998967602</v>
        <stp/>
        <stp>##V3_BDPV12</stp>
        <stp>DAX index</stp>
        <stp>best pe ratio</stp>
        <stp>[Macro RPRR.xlsx]eco data!R15C22</stp>
        <tr r="V15" s="8"/>
      </tp>
      <tp>
        <v>12.3937123808332</v>
        <stp/>
        <stp>##V3_BDPV12</stp>
        <stp>CAC index</stp>
        <stp>best pe ratio</stp>
        <stp>[Macro RPRR.xlsx]eco data!R54C13</stp>
        <tr r="M54" s="8"/>
      </tp>
      <tp>
        <v>6.2140000000000001E-2</v>
        <stp/>
        <stp>##V3_BDPV12</stp>
        <stp>EU0003m INDEX</stp>
        <stp>px last</stp>
        <stp>[Macro RPRR.xlsx]eco data!R11C22</stp>
        <tr r="V11" s="8"/>
      </tp>
      <tp>
        <v>6.2140000000000001E-2</v>
        <stp/>
        <stp>##V3_BDPV12</stp>
        <stp>EU0003m INDEX</stp>
        <stp>px last</stp>
        <stp>[Macro RPRR.xlsx]eco data!R50C13</stp>
        <tr r="M50" s="8"/>
      </tp>
      <tp t="s">
        <v>Commercial Services</v>
        <stp/>
        <stp>##V3_BDPV12</stp>
        <stp>7911 JT Equity</stp>
        <stp>industry group</stp>
        <stp>[Macro RPRR.xlsx]monitor!R184C40</stp>
        <tr r="AN184" s="10"/>
      </tp>
      <tp t="s">
        <v>Machinery-Constr&amp;Mining</v>
        <stp/>
        <stp>##V3_BDPV12</stp>
        <stp>7011 JT Equity</stp>
        <stp>industry group</stp>
        <stp>[Macro RPRR.xlsx]monitor!R152C40</stp>
        <tr r="AN152" s="10"/>
      </tp>
      <tp t="s">
        <v>Leisure Time</v>
        <stp/>
        <stp>##V3_BDPV12</stp>
        <stp>7951 JT Equity</stp>
        <stp>industry group</stp>
        <stp>[Macro RPRR.xlsx]monitor!R112C40</stp>
        <tr r="AN112" s="10"/>
      </tp>
      <tp t="s">
        <v>Miscellaneous Manufactur</v>
        <stp/>
        <stp>##V3_BDPV12</stp>
        <stp>7731 JT Equity</stp>
        <stp>industry group</stp>
        <stp>[Macro RPRR.xlsx]monitor!R189C40</stp>
        <tr r="AN189" s="10"/>
      </tp>
      <tp t="s">
        <v>Electronics</v>
        <stp/>
        <stp>##V3_BDPV12</stp>
        <stp>6971 JT Equity</stp>
        <stp>industry group</stp>
        <stp>[Macro RPRR.xlsx]monitor!R180C40</stp>
        <tr r="AN180" s="10"/>
      </tp>
      <tp t="s">
        <v>Packaging&amp;Containers</v>
        <stp/>
        <stp>##V3_BDPV12</stp>
        <stp>5901 JT Equity</stp>
        <stp>industry group</stp>
        <stp>[Macro RPRR.xlsx]monitor!R205C40</stp>
        <tr r="AN205" s="10"/>
      </tp>
      <tp t="s">
        <v>Mining</v>
        <stp/>
        <stp>##V3_BDPV12</stp>
        <stp>5711 JT Equity</stp>
        <stp>industry group</stp>
        <stp>[Macro RPRR.xlsx]monitor!R165C40</stp>
        <tr r="AN165" s="10"/>
      </tp>
      <tp t="s">
        <v>Auto Parts&amp;Equipment</v>
        <stp/>
        <stp>##V3_BDPV12</stp>
        <stp>5101 JT Equity</stp>
        <stp>industry group</stp>
        <stp>[Macro RPRR.xlsx]monitor!R124C40</stp>
        <tr r="AN124" s="10"/>
      </tp>
      <tp t="s">
        <v>Mining</v>
        <stp/>
        <stp>##V3_BDPV12</stp>
        <stp>5541 JT Equity</stp>
        <stp>industry group</stp>
        <stp>[Macro RPRR.xlsx]monitor!R116C40</stp>
        <tr r="AN116" s="10"/>
      </tp>
      <tp t="s">
        <v>Chemicals</v>
        <stp/>
        <stp>##V3_BDPV12</stp>
        <stp>4631 JT Equity</stp>
        <stp>industry group</stp>
        <stp>[Macro RPRR.xlsx]monitor!R169C40</stp>
        <tr r="AN169" s="10"/>
      </tp>
      <tp t="s">
        <v>Chemicals</v>
        <stp/>
        <stp>##V3_BDPV12</stp>
        <stp>4021 JT Equity</stp>
        <stp>industry group</stp>
        <stp>[Macro RPRR.xlsx]monitor!R101C40</stp>
        <tr r="AN101" s="10"/>
      </tp>
      <tp t="s">
        <v>Auto Manufacturers</v>
        <stp/>
        <stp>##V3_BDPV12</stp>
        <stp>7211 JT Equity</stp>
        <stp>industry group</stp>
        <stp>[Macro RPRR.xlsx]monitor!R212C40</stp>
        <tr r="AN212" s="10"/>
      </tp>
      <tp t="s">
        <v>Pharmaceuticals</v>
        <stp/>
        <stp>##V3_BDPV12</stp>
        <stp>4151 JT Equity</stp>
        <stp>industry group</stp>
        <stp>[Macro RPRR.xlsx]monitor!R133C40</stp>
        <tr r="AN133" s="10"/>
      </tp>
      <tp t="s">
        <v>Office/Business Equip</v>
        <stp/>
        <stp>##V3_BDPV12</stp>
        <stp>7751 JT Equity</stp>
        <stp>industry group</stp>
        <stp>[Macro RPRR.xlsx]monitor!R202C40</stp>
        <tr r="AN202" s="10"/>
      </tp>
      <tp t="s">
        <v>Office/Business Equip</v>
        <stp/>
        <stp>##V3_BDPV12</stp>
        <stp>4901 JT Equity</stp>
        <stp>industry group</stp>
        <stp>[Macro RPRR.xlsx]monitor!R147C40</stp>
        <tr r="AN147" s="10"/>
      </tp>
      <tp t="s">
        <v>Cosmetics/Personal Care</v>
        <stp/>
        <stp>##V3_BDPV12</stp>
        <stp>4911 JT Equity</stp>
        <stp>industry group</stp>
        <stp>[Macro RPRR.xlsx]monitor!R177C40</stp>
        <tr r="AN177" s="10"/>
      </tp>
      <tp t="s">
        <v>Miscellaneous Manufactur</v>
        <stp/>
        <stp>##V3_BDPV12</stp>
        <stp>3101 JT Equity</stp>
        <stp>industry group</stp>
        <stp>[Macro RPRR.xlsx]monitor!R141C40</stp>
        <tr r="AN141" s="10"/>
      </tp>
      <tp t="s">
        <v>Forest Products&amp;Paper</v>
        <stp/>
        <stp>##V3_BDPV12</stp>
        <stp>3861 JT Equity</stp>
        <stp>industry group</stp>
        <stp>[Macro RPRR.xlsx]monitor!R149C40</stp>
        <tr r="AN149" s="10"/>
      </tp>
      <tp t="s">
        <v>Beverages</v>
        <stp/>
        <stp>##V3_BDPV12</stp>
        <stp>2501 JT Equity</stp>
        <stp>industry group</stp>
        <stp>[Macro RPRR.xlsx]monitor!R178C40</stp>
        <tr r="AN178" s="10"/>
      </tp>
      <tp t="s">
        <v>Engineering&amp;Construction</v>
        <stp/>
        <stp>##V3_BDPV12</stp>
        <stp>1721 JT Equity</stp>
        <stp>industry group</stp>
        <stp>[Macro RPRR.xlsx]monitor!R158C40</stp>
        <tr r="AN158" s="10"/>
      </tp>
      <tp t="s">
        <v>Food</v>
        <stp/>
        <stp>##V3_BDPV12</stp>
        <stp>2871 JT Equity</stp>
        <stp>industry group</stp>
        <stp>[Macro RPRR.xlsx]monitor!R215C40</stp>
        <tr r="AN215" s="10"/>
      </tp>
      <tp t="s">
        <v>Engineering&amp;Construction</v>
        <stp/>
        <stp>##V3_BDPV12</stp>
        <stp>1801 JT Equity</stp>
        <stp>industry group</stp>
        <stp>[Macro RPRR.xlsx]monitor!R132C40</stp>
        <tr r="AN132" s="10"/>
      </tp>
      <tp t="s">
        <v>Textiles</v>
        <stp/>
        <stp>##V3_BDPV12</stp>
        <stp>3401 JT Equity</stp>
        <stp>industry group</stp>
        <stp>[Macro RPRR.xlsx]monitor!R204C40</stp>
        <tr r="AN204" s="10"/>
      </tp>
      <tp t="s">
        <v>Transportation</v>
        <stp/>
        <stp>##V3_BDPV12</stp>
        <stp>9001 JT Equity</stp>
        <stp>industry group</stp>
        <stp>[Macro RPRR.xlsx]monitor!R226C40</stp>
        <tr r="AN226" s="10"/>
      </tp>
      <tp t="s">
        <v>Transportation</v>
        <stp/>
        <stp>##V3_BDPV12</stp>
        <stp>9021 JT Equity</stp>
        <stp>industry group</stp>
        <stp>[Macro RPRR.xlsx]monitor!R225C40</stp>
        <tr r="AN225" s="10"/>
      </tp>
      <tp t="s">
        <v>Gas</v>
        <stp/>
        <stp>##V3_BDPV12</stp>
        <stp>9531 JT Equity</stp>
        <stp>industry group</stp>
        <stp>[Macro RPRR.xlsx]monitor!R219C40</stp>
        <tr r="AN219" s="10"/>
      </tp>
      <tp t="s">
        <v>Banks</v>
        <stp/>
        <stp>##V3_BDPV12</stp>
        <stp>8411 JT Equity</stp>
        <stp>industry group</stp>
        <stp>[Macro RPRR.xlsx]monitor!R142C40</stp>
        <tr r="AN142" s="10"/>
      </tp>
      <tp t="s">
        <v>Distribution/Wholesale</v>
        <stp/>
        <stp>##V3_BDPV12</stp>
        <stp>8031 JT Equity</stp>
        <stp>industry group</stp>
        <stp>[Macro RPRR.xlsx]monitor!R104C40</stp>
        <tr r="AN104" s="10"/>
      </tp>
      <tp t="s">
        <v>Banks</v>
        <stp/>
        <stp>##V3_BDPV12</stp>
        <stp>8331 JT Equity</stp>
        <stp>industry group</stp>
        <stp>[Macro RPRR.xlsx]monitor!R102C40</stp>
        <tr r="AN102" s="10"/>
      </tp>
      <tp t="s">
        <v>Diversified Finan Serv</v>
        <stp/>
        <stp>##V3_BDPV12</stp>
        <stp>8601 JT Equity</stp>
        <stp>industry group</stp>
        <stp>[Macro RPRR.xlsx]monitor!R130C40</stp>
        <tr r="AN130" s="10"/>
      </tp>
      <tp t="s">
        <v>Real Estate</v>
        <stp/>
        <stp>##V3_BDPV12</stp>
        <stp>8801 JT Equity</stp>
        <stp>industry group</stp>
        <stp>[Macro RPRR.xlsx]monitor!R123C40</stp>
        <tr r="AN123" s="10"/>
      </tp>
      <tp>
        <v>-48.189990000000002</v>
        <stp/>
        <stp>##V3_BDPV12</stp>
        <stp>2413 JT Equity</stp>
        <stp>chg PCt 1yr</stp>
        <stp>[Macro RPRR.xlsx]monitor!R6C38</stp>
        <tr r="AL6" s="10"/>
      </tp>
      <tp>
        <v>4.9000000000000004</v>
        <stp/>
        <stp>##V3_BDPV12</stp>
        <stp>INURRATE index</stp>
        <stp>px last</stp>
        <stp>[Macro RPRR.xlsx]EU countries!R23C16</stp>
        <tr r="P23" s="11"/>
      </tp>
      <tp t="s">
        <v>Electric</v>
        <stp/>
        <stp>##V3_BDPV12</stp>
        <stp>NG/ LN Equity</stp>
        <stp>industry group</stp>
        <stp>[Macro RPRR.xlsx]monitor!R101C34</stp>
        <tr r="AH101" s="10"/>
      </tp>
      <tp t="s">
        <v>Office/Business Equip</v>
        <stp/>
        <stp>##V3_BDPV12</stp>
        <stp>7752 JT Equity</stp>
        <stp>industry group</stp>
        <stp>[Macro RPRR.xlsx]monitor!R103C40</stp>
        <tr r="AN103" s="10"/>
      </tp>
      <tp t="s">
        <v>Cosmetics/Personal Care</v>
        <stp/>
        <stp>##V3_BDPV12</stp>
        <stp>4452 JT Equity</stp>
        <stp>industry group</stp>
        <stp>[Macro RPRR.xlsx]monitor!R224C40</stp>
        <tr r="AN224" s="10"/>
      </tp>
      <tp t="s">
        <v>Toys/Games/Hobbies</v>
        <stp/>
        <stp>##V3_BDPV12</stp>
        <stp>7832 JT Equity</stp>
        <stp>industry group</stp>
        <stp>[Macro RPRR.xlsx]monitor!R106C40</stp>
        <tr r="AN106" s="10"/>
      </tp>
      <tp t="s">
        <v>Auto Parts&amp;Equipment</v>
        <stp/>
        <stp>##V3_BDPV12</stp>
        <stp>5802 JT Equity</stp>
        <stp>industry group</stp>
        <stp>[Macro RPRR.xlsx]monitor!R107C40</stp>
        <tr r="AN107" s="10"/>
      </tp>
      <tp t="s">
        <v>Building Materials</v>
        <stp/>
        <stp>##V3_BDPV12</stp>
        <stp>5232 JT Equity</stp>
        <stp>industry group</stp>
        <stp>[Macro RPRR.xlsx]monitor!R194C40</stp>
        <tr r="AN194" s="10"/>
      </tp>
      <tp t="s">
        <v>Pharmaceuticals</v>
        <stp/>
        <stp>##V3_BDPV12</stp>
        <stp>4502 JT Equity</stp>
        <stp>industry group</stp>
        <stp>[Macro RPRR.xlsx]monitor!R161C40</stp>
        <tr r="AN161" s="10"/>
      </tp>
      <tp t="s">
        <v>Retail</v>
        <stp/>
        <stp>##V3_BDPV12</stp>
        <stp>7762 JT Equity</stp>
        <stp>industry group</stp>
        <stp>[Macro RPRR.xlsx]monitor!R208C40</stp>
        <tr r="AN208" s="10"/>
      </tp>
      <tp t="s">
        <v>Commercial Services</v>
        <stp/>
        <stp>##V3_BDPV12</stp>
        <stp>7912 JT Equity</stp>
        <stp>industry group</stp>
        <stp>[Macro RPRR.xlsx]monitor!R217C40</stp>
        <tr r="AN217" s="10"/>
      </tp>
      <tp t="s">
        <v>Office/Business Equip</v>
        <stp/>
        <stp>##V3_BDPV12</stp>
        <stp>4902 JT Equity</stp>
        <stp>industry group</stp>
        <stp>[Macro RPRR.xlsx]monitor!R127C40</stp>
        <tr r="AN127" s="10"/>
      </tp>
      <tp t="s">
        <v>Food</v>
        <stp/>
        <stp>##V3_BDPV12</stp>
        <stp>3382 JT Equity</stp>
        <stp>industry group</stp>
        <stp>[Macro RPRR.xlsx]monitor!R146C40</stp>
        <tr r="AN146" s="10"/>
      </tp>
      <tp t="s">
        <v>Food</v>
        <stp/>
        <stp>##V3_BDPV12</stp>
        <stp>2282 JT Equity</stp>
        <stp>industry group</stp>
        <stp>[Macro RPRR.xlsx]monitor!R157C40</stp>
        <tr r="AN157" s="10"/>
      </tp>
      <tp t="s">
        <v>Food</v>
        <stp/>
        <stp>##V3_BDPV12</stp>
        <stp>2802 JT Equity</stp>
        <stp>industry group</stp>
        <stp>[Macro RPRR.xlsx]monitor!R176C40</stp>
        <tr r="AN176" s="10"/>
      </tp>
      <tp t="s">
        <v>Food</v>
        <stp/>
        <stp>##V3_BDPV12</stp>
        <stp>2002 JT Equity</stp>
        <stp>industry group</stp>
        <stp>[Macro RPRR.xlsx]monitor!R209C40</stp>
        <tr r="AN209" s="10"/>
      </tp>
      <tp t="s">
        <v>Engineering&amp;Construction</v>
        <stp/>
        <stp>##V3_BDPV12</stp>
        <stp>1802 JT Equity</stp>
        <stp>industry group</stp>
        <stp>[Macro RPRR.xlsx]monitor!R185C40</stp>
        <tr r="AN185" s="10"/>
      </tp>
      <tp t="s">
        <v>Engineering&amp;Construction</v>
        <stp/>
        <stp>##V3_BDPV12</stp>
        <stp>1812 JT Equity</stp>
        <stp>industry group</stp>
        <stp>[Macro RPRR.xlsx]monitor!R117C40</stp>
        <tr r="AN117" s="10"/>
      </tp>
      <tp t="s">
        <v>Food</v>
        <stp/>
        <stp>##V3_BDPV12</stp>
        <stp>1332 JT Equity</stp>
        <stp>industry group</stp>
        <stp>[Macro RPRR.xlsx]monitor!R195C40</stp>
        <tr r="AN195" s="10"/>
      </tp>
      <tp t="s">
        <v>Transportation</v>
        <stp/>
        <stp>##V3_BDPV12</stp>
        <stp>9022 JT Equity</stp>
        <stp>industry group</stp>
        <stp>[Macro RPRR.xlsx]monitor!R214C40</stp>
        <tr r="AN214" s="10"/>
      </tp>
      <tp t="s">
        <v>Airlines</v>
        <stp/>
        <stp>##V3_BDPV12</stp>
        <stp>9202 JT Equity</stp>
        <stp>industry group</stp>
        <stp>[Macro RPRR.xlsx]monitor!R213C40</stp>
        <tr r="AN213" s="10"/>
      </tp>
      <tp t="s">
        <v>Gas</v>
        <stp/>
        <stp>##V3_BDPV12</stp>
        <stp>9532 JT Equity</stp>
        <stp>industry group</stp>
        <stp>[Macro RPRR.xlsx]monitor!R201C40</stp>
        <tr r="AN201" s="10"/>
      </tp>
      <tp t="s">
        <v>Electric</v>
        <stp/>
        <stp>##V3_BDPV12</stp>
        <stp>9502 JT Equity</stp>
        <stp>industry group</stp>
        <stp>[Macro RPRR.xlsx]monitor!R221C40</stp>
        <tr r="AN221" s="10"/>
      </tp>
      <tp t="s">
        <v>Media</v>
        <stp/>
        <stp>##V3_BDPV12</stp>
        <stp>9412 JT Equity</stp>
        <stp>industry group</stp>
        <stp>[Macro RPRR.xlsx]monitor!R145C40</stp>
        <tr r="AN145" s="10"/>
      </tp>
      <tp t="s">
        <v>Entertainment</v>
        <stp/>
        <stp>##V3_BDPV12</stp>
        <stp>9602 JT Equity</stp>
        <stp>industry group</stp>
        <stp>[Macro RPRR.xlsx]monitor!R125C40</stp>
        <tr r="AN125" s="10"/>
      </tp>
      <tp t="s">
        <v>Telecommunications</v>
        <stp/>
        <stp>##V3_BDPV12</stp>
        <stp>9432 JT Equity</stp>
        <stp>industry group</stp>
        <stp>[Macro RPRR.xlsx]monitor!R186C40</stp>
        <tr r="AN186" s="10"/>
      </tp>
      <tp t="s">
        <v>Retail</v>
        <stp/>
        <stp>##V3_BDPV12</stp>
        <stp>8252 JT Equity</stp>
        <stp>industry group</stp>
        <stp>[Macro RPRR.xlsx]monitor!R179C40</stp>
        <tr r="AN179" s="10"/>
      </tp>
      <tp t="s">
        <v>Real Estate</v>
        <stp/>
        <stp>##V3_BDPV12</stp>
        <stp>8802 JT Equity</stp>
        <stp>industry group</stp>
        <stp>[Macro RPRR.xlsx]monitor!R159C40</stp>
        <tr r="AN159" s="10"/>
      </tp>
      <tp t="s">
        <v>Auto Parts&amp;Equipment</v>
        <stp/>
        <stp>##V3_BDPV12</stp>
        <stp>300750 CS Equity</stp>
        <stp>industry group</stp>
        <stp>[Macro RPRR.xlsx]monitor!R9C46</stp>
        <tr r="AT9" s="10"/>
      </tp>
      <tp>
        <v>-4.41E-2</v>
        <stp/>
        <stp>##V3_BDPV12</stp>
        <stp>XGLE GR EQUITY</stp>
        <stp>MF_tot_1D</stp>
        <stp>[Macro RPRR.xlsx]flows!R30C9</stp>
        <tr r="I30" s="12"/>
      </tp>
      <tp t="s">
        <v>#N/A Invalid Security</v>
        <stp/>
        <stp>##V3_BDPV12</stp>
        <stp>bcfxrubr curncy</stp>
        <stp>px last</stp>
        <stp>[Macro RPRR.xlsx]eco data!R40C22</stp>
        <tr r="V40" s="8"/>
      </tp>
      <tp t="s">
        <v>Pharmaceuticals</v>
        <stp/>
        <stp>##V3_BDPV12</stp>
        <stp>4503 JT Equity</stp>
        <stp>industry group</stp>
        <stp>[Macro RPRR.xlsx]monitor!R206C40</stp>
        <tr r="AN206" s="10"/>
      </tp>
      <tp t="s">
        <v>Pharmaceuticals</v>
        <stp/>
        <stp>##V3_BDPV12</stp>
        <stp>4523 JT Equity</stp>
        <stp>industry group</stp>
        <stp>[Macro RPRR.xlsx]monitor!R216C40</stp>
        <tr r="AN216" s="10"/>
      </tp>
      <tp t="s">
        <v>Auto Manufacturers</v>
        <stp/>
        <stp>##V3_BDPV12</stp>
        <stp>7203 JT Equity</stp>
        <stp>industry group</stp>
        <stp>[Macro RPRR.xlsx]monitor!R155C40</stp>
        <tr r="AN155" s="10"/>
      </tp>
      <tp t="s">
        <v>Shipbuilding</v>
        <stp/>
        <stp>##V3_BDPV12</stp>
        <stp>7003 JT Equity</stp>
        <stp>industry group</stp>
        <stp>[Macro RPRR.xlsx]monitor!R196C40</stp>
        <tr r="AN196" s="10"/>
      </tp>
      <tp t="s">
        <v>Hand/Machine Tools</v>
        <stp/>
        <stp>##V3_BDPV12</stp>
        <stp>6113 JT Equity</stp>
        <stp>industry group</stp>
        <stp>[Macro RPRR.xlsx]monitor!R109C40</stp>
        <tr r="AN109" s="10"/>
      </tp>
      <tp t="s">
        <v>Machinery-Constr&amp;Mining</v>
        <stp/>
        <stp>##V3_BDPV12</stp>
        <stp>6503 JT Equity</stp>
        <stp>industry group</stp>
        <stp>[Macro RPRR.xlsx]monitor!R143C40</stp>
        <tr r="AN143" s="10"/>
      </tp>
      <tp t="s">
        <v>Telecommunications</v>
        <stp/>
        <stp>##V3_BDPV12</stp>
        <stp>6703 JT Equity</stp>
        <stp>industry group</stp>
        <stp>[Macro RPRR.xlsx]monitor!R181C40</stp>
        <tr r="AN181" s="10"/>
      </tp>
      <tp t="s">
        <v>Auto Parts&amp;Equipment</v>
        <stp/>
        <stp>##V3_BDPV12</stp>
        <stp>5333 JT Equity</stp>
        <stp>industry group</stp>
        <stp>[Macro RPRR.xlsx]monitor!R114C40</stp>
        <tr r="AN114" s="10"/>
      </tp>
      <tp t="s">
        <v>Mining</v>
        <stp/>
        <stp>##V3_BDPV12</stp>
        <stp>5703 JT Equity</stp>
        <stp>industry group</stp>
        <stp>[Macro RPRR.xlsx]monitor!R131C40</stp>
        <tr r="AN131" s="10"/>
      </tp>
      <tp t="s">
        <v>Chemicals</v>
        <stp/>
        <stp>##V3_BDPV12</stp>
        <stp>4043 JT Equity</stp>
        <stp>industry group</stp>
        <stp>[Macro RPRR.xlsx]monitor!R129C40</stp>
        <tr r="AN129" s="10"/>
      </tp>
      <tp t="s">
        <v>Healthcare-Products</v>
        <stp/>
        <stp>##V3_BDPV12</stp>
        <stp>4543 JT Equity</stp>
        <stp>industry group</stp>
        <stp>[Macro RPRR.xlsx]monitor!R190C40</stp>
        <tr r="AN190" s="10"/>
      </tp>
      <tp t="s">
        <v>Engineering&amp;Construction</v>
        <stp/>
        <stp>##V3_BDPV12</stp>
        <stp>1803 JT Equity</stp>
        <stp>industry group</stp>
        <stp>[Macro RPRR.xlsx]monitor!R193C40</stp>
        <tr r="AN193" s="10"/>
      </tp>
      <tp t="s">
        <v>Beverages</v>
        <stp/>
        <stp>##V3_BDPV12</stp>
        <stp>2503 JT Equity</stp>
        <stp>industry group</stp>
        <stp>[Macro RPRR.xlsx]monitor!R211C40</stp>
        <tr r="AN211" s="10"/>
      </tp>
      <tp t="s">
        <v>Food</v>
        <stp/>
        <stp>##V3_BDPV12</stp>
        <stp>1333 JT Equity</stp>
        <stp>industry group</stp>
        <stp>[Macro RPRR.xlsx]monitor!R175C40</stp>
        <tr r="AN175" s="10"/>
      </tp>
      <tp t="s">
        <v>Forest Products&amp;Paper</v>
        <stp/>
        <stp>##V3_BDPV12</stp>
        <stp>3863 JT Equity</stp>
        <stp>industry group</stp>
        <stp>[Macro RPRR.xlsx]monitor!R223C40</stp>
        <tr r="AN223" s="10"/>
      </tp>
      <tp t="s">
        <v>Diversified Finan Serv</v>
        <stp/>
        <stp>##V3_BDPV12</stp>
        <stp>8253 JT Equity</stp>
        <stp>industry group</stp>
        <stp>[Macro RPRR.xlsx]monitor!R200C40</stp>
        <tr r="AN200" s="10"/>
      </tp>
      <tp t="s">
        <v>Electric</v>
        <stp/>
        <stp>##V3_BDPV12</stp>
        <stp>9503 JT Equity</stp>
        <stp>industry group</stp>
        <stp>[Macro RPRR.xlsx]monitor!R210C40</stp>
        <tr r="AN210" s="10"/>
      </tp>
      <tp t="s">
        <v>Telecommunications</v>
        <stp/>
        <stp>##V3_BDPV12</stp>
        <stp>9433 JT Equity</stp>
        <stp>industry group</stp>
        <stp>[Macro RPRR.xlsx]monitor!R187C40</stp>
        <tr r="AN187" s="10"/>
      </tp>
      <tp t="s">
        <v>Banks</v>
        <stp/>
        <stp>##V3_BDPV12</stp>
        <stp>8303 JT Equity</stp>
        <stp>industry group</stp>
        <stp>[Macro RPRR.xlsx]monitor!R139C40</stp>
        <tr r="AN139" s="10"/>
      </tp>
      <tp t="s">
        <v>Distribution/Wholesale</v>
        <stp/>
        <stp>##V3_BDPV12</stp>
        <stp>8053 JT Equity</stp>
        <stp>industry group</stp>
        <stp>[Macro RPRR.xlsx]monitor!R154C40</stp>
        <tr r="AN154" s="10"/>
      </tp>
      <tp>
        <v>10.972648778770729</v>
        <stp/>
        <stp>##V3_BDPV12</stp>
        <stp>UKX INDEX</stp>
        <stp>best pe ratio</stp>
        <stp>[Macro RPRR.xlsx]monitor!R12C13</stp>
        <tr r="M12" s="10"/>
      </tp>
      <tp>
        <v>1.548</v>
        <stp/>
        <stp>##V3_BDPV12</stp>
        <stp>gspt10 index</stp>
        <stp>chg net 6m</stp>
        <stp>[Macro RPRR.xlsx]monitor!R10C5</stp>
        <tr r="E10" s="10"/>
      </tp>
      <tp>
        <v>0.67</v>
        <stp/>
        <stp>##V3_BDPV12</stp>
        <stp>gspt10 index</stp>
        <stp>chg net 1m</stp>
        <stp>[Macro RPRR.xlsx]monitor!R10C4</stp>
        <tr r="D10" s="10"/>
      </tp>
      <tp>
        <v>4.3842999999999996</v>
        <stp/>
        <stp>##V3_BDPV12</stp>
        <stp>micxru2y index</stp>
        <stp>CHG neT 1yr</stp>
        <stp>[Macro RPRR.xlsx]eco data!R38C25</stp>
        <tr r="Y38" s="8"/>
        <tr r="Y38" s="8"/>
      </tp>
      <tp>
        <v>9.3612000000000002</v>
        <stp/>
        <stp>##V3_BDPV12</stp>
        <stp>micxru3M index</stp>
        <stp>CHG neT 1yr</stp>
        <stp>[Macro RPRR.xlsx]eco data!R36C25</stp>
        <tr r="Y36" s="8"/>
        <tr r="Y36" s="8"/>
      </tp>
      <tp>
        <v>-6.5380269999999996</v>
        <stp/>
        <stp>##V3_BDPV12</stp>
        <stp>INDA US EQUITY</stp>
        <stp>MF_tot_1D</stp>
        <stp>[Macro RPRR.xlsx]flows!R38C9</stp>
        <tr r="I38" s="12"/>
      </tp>
      <tp>
        <v>1.5137179999999999</v>
        <stp/>
        <stp>##V3_BDPV12</stp>
        <stp>7735 JT Equity</stp>
        <stp>chg PCt 1yr</stp>
        <stp>[Macro RPRR.xlsx]monitor!R7C38</stp>
        <tr r="AL7" s="10"/>
      </tp>
      <tp>
        <v>913.86500000000001</v>
        <stp/>
        <stp>##V3_BDPV12</stp>
        <stp>wgdpneth index</stp>
        <stp>px last</stp>
        <stp>[Macro RPRR.xlsx]EU countries!R11C10</stp>
        <tr r="J11" s="11"/>
      </tp>
      <tp>
        <v>-0.34999849999999999</v>
        <stp/>
        <stp>##V3_BDPV12</stp>
        <stp>gsjpfci index</stp>
        <stp>chg net 1m</stp>
        <stp>[Macro RPRR.xlsx]rprr!R39C2</stp>
        <tr r="B39" s="4"/>
      </tp>
      <tp>
        <v>-4.0000920000000002E-2</v>
        <stp/>
        <stp>##V3_BDPV12</stp>
        <stp>gseafci index</stp>
        <stp>chg net 1m</stp>
        <stp>[Macro RPRR.xlsx]rprr!R19C2</stp>
        <tr r="B19" s="4"/>
      </tp>
      <tp>
        <v>-0.11999509999999999</v>
        <stp/>
        <stp>##V3_BDPV12</stp>
        <stp>gsgbfci index</stp>
        <stp>chg net 1m</stp>
        <stp>[Macro RPRR.xlsx]rprr!R29C2</stp>
        <tr r="B29" s="4"/>
      </tp>
      <tp>
        <v>0.52999879999999999</v>
        <stp/>
        <stp>##V3_BDPV12</stp>
        <stp>gscnfci index</stp>
        <stp>chg net 1m</stp>
        <stp>[Macro RPRR.xlsx]rprr!R49C2</stp>
        <tr r="B49" s="4"/>
      </tp>
      <tp>
        <v>16.12745</v>
        <stp/>
        <stp>##V3_BDPV12</stp>
        <stp>600900 CG Equity</stp>
        <stp>chg PCt 1yr</stp>
        <stp>[Macro RPRR.xlsx]monitor!R27C44</stp>
        <tr r="AR27" s="10"/>
      </tp>
      <tp>
        <v>-22.435289999999998</v>
        <stp/>
        <stp>##V3_BDPV12</stp>
        <stp>600000 CG Equity</stp>
        <stp>chg PCt 1yr</stp>
        <stp>[Macro RPRR.xlsx]monitor!R42C44</stp>
        <tr r="AR42" s="10"/>
      </tp>
      <tp>
        <v>-10.19557</v>
        <stp/>
        <stp>##V3_BDPV12</stp>
        <stp>600030 CG Equity</stp>
        <stp>chg PCt 1yr</stp>
        <stp>[Macro RPRR.xlsx]monitor!R41C44</stp>
        <tr r="AR41" s="10"/>
      </tp>
      <tp>
        <v>-25.834969999999998</v>
        <stp/>
        <stp>##V3_BDPV12</stp>
        <stp>300760 CS Equity</stp>
        <stp>chg PCt 1yr</stp>
        <stp>[Macro RPRR.xlsx]monitor!R20C44</stp>
        <tr r="AR20" s="10"/>
      </tp>
      <tp t="s">
        <v>Health Care</v>
        <stp/>
        <stp>##V3_BDPV12</stp>
        <stp>GSK LN Equity</stp>
        <stp>gics sector name</stp>
        <stp>[Macro RPRR.xlsx]monitor!R102C33</stp>
        <tr r="AG102" s="10"/>
      </tp>
    </main>
    <main first="bofaddin.rtdserver">
      <tp t="e">
        <v>#N/A</v>
        <stp/>
        <stp>BDH|7048590784024036201</stp>
        <tr r="AP9" s="5"/>
      </tp>
      <tp t="e">
        <v>#N/A</v>
        <stp/>
        <stp>BDH|2262506692097010533</stp>
        <tr r="AU9" s="5"/>
      </tp>
      <tp t="e">
        <v>#N/A</v>
        <stp/>
        <stp>BDH|6394525586193375417</stp>
        <tr r="AJ9" s="5"/>
      </tp>
    </main>
    <main first="bloomberg.rtd">
      <tp>
        <v>-0.63</v>
        <stp/>
        <stp>##V3_BDPV12</stp>
        <stp>ATWICNY curncy</stp>
        <stp>CHG PCT 5d</stp>
        <stp>[Macro RPRR.xlsx]eco data!R27C23</stp>
        <tr r="W27" s="8"/>
      </tp>
      <tp>
        <v>14.4451</v>
        <stp/>
        <stp>##V3_BDPV12</stp>
        <stp>micxru3M INDEX</stp>
        <stp>PX LAST</stp>
        <stp>[Macro RPRR.xlsx]eco data!R36C22</stp>
        <tr r="V36" s="8"/>
      </tp>
      <tp>
        <v>10.092700000000001</v>
        <stp/>
        <stp>##V3_BDPV12</stp>
        <stp>micxru2y INDEX</stp>
        <stp>PX LAST</stp>
        <stp>[Macro RPRR.xlsx]eco data!R38C22</stp>
        <tr r="V38" s="8"/>
      </tp>
      <tp t="s">
        <v>Chemicals</v>
        <stp/>
        <stp>##V3_BDPV12</stp>
        <stp>JMAT LN Equity</stp>
        <stp>industry group</stp>
        <stp>[Macro RPRR.xlsx]monitor!R21C34</stp>
        <tr r="AH21" s="10"/>
      </tp>
      <tp t="s">
        <v>Banks</v>
        <stp/>
        <stp>##V3_BDPV12</stp>
        <stp>STAN LN Equity</stp>
        <stp>industry group</stp>
        <stp>[Macro RPRR.xlsx]monitor!R83C34</stp>
        <tr r="AH83" s="10"/>
      </tp>
      <tp t="s">
        <v>Insurance</v>
        <stp/>
        <stp>##V3_BDPV12</stp>
        <stp>601601 CG Equity</stp>
        <stp>industry group</stp>
        <stp>[Macro RPRR.xlsx]monitor!R25C46</stp>
        <tr r="AT25" s="10"/>
      </tp>
      <tp t="s">
        <v>Electric</v>
        <stp/>
        <stp>##V3_BDPV12</stp>
        <stp>600900 CG Equity</stp>
        <stp>industry group</stp>
        <stp>[Macro RPRR.xlsx]monitor!R27C46</stp>
        <tr r="AT27" s="10"/>
      </tp>
      <tp t="s">
        <v>Banks</v>
        <stp/>
        <stp>##V3_BDPV12</stp>
        <stp>600000 CG Equity</stp>
        <stp>industry group</stp>
        <stp>[Macro RPRR.xlsx]monitor!R42C46</stp>
        <tr r="AT42" s="10"/>
      </tp>
      <tp t="s">
        <v>#N/A N/A</v>
        <stp/>
        <stp>##V3_BDPV12</stp>
        <stp>RDSB LN Equity</stp>
        <stp>chg PCt 1yr</stp>
        <stp>[Macro RPRR.xlsx]monitor!R87C32</stp>
        <tr r="AF87" s="10"/>
      </tp>
      <tp t="s">
        <v>Auto Manufacturers</v>
        <stp/>
        <stp>##V3_BDPV12</stp>
        <stp>600104 CG Equity</stp>
        <stp>industry group</stp>
        <stp>[Macro RPRR.xlsx]monitor!R47C46</stp>
        <tr r="AT47" s="10"/>
      </tp>
      <tp t="s">
        <v>#N/A N/A</v>
        <stp/>
        <stp>##V3_BDPV12</stp>
        <stp>ehcaes index</stp>
        <stp>CHG neT 1m</stp>
        <stp>[Macro RPRR.xlsx]eco data!R21C15</stp>
        <tr r="O21" s="8"/>
      </tp>
      <tp t="s">
        <v>#N/A N/A</v>
        <stp/>
        <stp>##V3_BDPV12</stp>
        <stp>ehupes index</stp>
        <stp>CHG neT 1m</stp>
        <stp>[Macro RPRR.xlsx]eco data!R22C15</stp>
        <tr r="O22" s="8"/>
      </tp>
      <tp>
        <v>2.899</v>
        <stp/>
        <stp>##V3_BDPV12</stp>
        <stp>GCAN10 index</stp>
        <stp>LAST TRADE</stp>
        <stp>[Macro RPRR.xlsx]carry+rd!R9C17</stp>
        <tr r="Q9" s="1"/>
      </tp>
      <tp>
        <v>0.25</v>
        <stp/>
        <stp>##V3_BDPV12</stp>
        <stp>GJGB10 index</stp>
        <stp>LAST TRADE</stp>
        <stp>[Macro RPRR.xlsx]carry+rd!R9C11</stp>
        <tr r="K9" s="1"/>
      </tp>
      <tp>
        <v>60.480163814103726</v>
        <stp/>
        <stp>##V3_BDPV12</stp>
        <stp>HO2 Comdty</stp>
        <stp>chg PCt 6m</stp>
        <stp>[Macro RPRR.xlsx]monitor!R92C5</stp>
        <tr r="E92" s="10"/>
      </tp>
      <tp>
        <v>4.6511100610954204</v>
        <stp/>
        <stp>##V3_BDPV12</stp>
        <stp>HO2 Comdty</stp>
        <stp>chg PCt 1m</stp>
        <stp>[Macro RPRR.xlsx]monitor!R92C4</stp>
        <tr r="D92" s="10"/>
      </tp>
      <tp>
        <v>-45.914400000000001</v>
        <stp/>
        <stp>##V3_BDPV12</stp>
        <stp>000651 CS Equity</stp>
        <stp>chg PCt 1yr</stp>
        <stp>[Macro RPRR.xlsx]monitor!R38C44</stp>
        <tr r="AR38" s="10"/>
      </tp>
      <tp>
        <v>-46.826650000000001</v>
        <stp/>
        <stp>##V3_BDPV12</stp>
        <stp>600031 CG Equity</stp>
        <stp>chg PCt 1yr</stp>
        <stp>[Macro RPRR.xlsx]monitor!R11C44</stp>
        <tr r="AR11" s="10"/>
      </tp>
      <tp>
        <v>-30.113140000000001</v>
        <stp/>
        <stp>##V3_BDPV12</stp>
        <stp>000001 CS Equity</stp>
        <stp>chg PCt 1yr</stp>
        <stp>[Macro RPRR.xlsx]monitor!R18C44</stp>
        <tr r="AR18" s="10"/>
      </tp>
      <tp>
        <v>-34.031840000000003</v>
        <stp/>
        <stp>##V3_BDPV12</stp>
        <stp>601601 CG Equity</stp>
        <stp>chg PCt 1yr</stp>
        <stp>[Macro RPRR.xlsx]monitor!R25C44</stp>
        <tr r="AR25" s="10"/>
      </tp>
      <tp>
        <v>6.35</v>
        <stp/>
        <stp>##V3_BDPV12</stp>
        <stp>ATWICNY curncy</stp>
        <stp>CHG PCT 1yr</stp>
        <stp>[Macro RPRR.xlsx]eco data!R27C25</stp>
        <tr r="Y27" s="8"/>
      </tp>
      <tp>
        <v>-2.9678719999999998</v>
        <stp/>
        <stp>##V3_BDPV12</stp>
        <stp>MXEU000S index</stp>
        <stp>chg PCt 1yr</stp>
        <stp>[Macro RPRR.xlsx]monitor!R74C6</stp>
        <tr r="F74" s="10"/>
      </tp>
      <tp>
        <v>-19.372540000000001</v>
        <stp/>
        <stp>##V3_BDPV12</stp>
        <stp>BARC LN Equity</stp>
        <stp>chg PCt 1yr</stp>
        <stp>[Macro RPRR.xlsx]monitor!R13C32</stp>
        <tr r="AF13" s="10"/>
      </tp>
      <tp>
        <v>28.538540000000001</v>
        <stp/>
        <stp>##V3_BDPV12</stp>
        <stp>MXEU000S index</stp>
        <stp>chg PCt 5yr</stp>
        <stp>[Macro RPRR.xlsx]monitor!R74C7</stp>
        <tr r="G74" s="10"/>
      </tp>
      <tp>
        <v>-0.35570000000000002</v>
        <stp/>
        <stp>##V3_BDPV12</stp>
        <stp>mxn curncy</stp>
        <stp>chg PCt 1m</stp>
        <stp>[Macro RPRR.xlsx]monitor!R89C15</stp>
        <tr r="O89" s="10"/>
      </tp>
      <tp t="s">
        <v>Beverages</v>
        <stp/>
        <stp>##V3_BDPV12</stp>
        <stp>600519 CG Equity</stp>
        <stp>industry group</stp>
        <stp>[Macro RPRR.xlsx]monitor!R15C46</stp>
        <tr r="AT15" s="10"/>
      </tp>
      <tp t="s">
        <v>Insurance</v>
        <stp/>
        <stp>##V3_BDPV12</stp>
        <stp>601318 CG Equity</stp>
        <stp>industry group</stp>
        <stp>[Macro RPRR.xlsx]monitor!R39C46</stp>
        <tr r="AT39" s="10"/>
      </tp>
      <tp>
        <v>10.972648778770729</v>
        <stp/>
        <stp>##V3_BDPV12</stp>
        <stp>UKX index</stp>
        <stp>best pe ratio</stp>
        <stp>[Macro RPRR.xlsx]eco data!R54C4</stp>
        <tr r="D54" s="8"/>
      </tp>
      <tp>
        <v>-0.85340000000000005</v>
        <stp/>
        <stp>##V3_BDPV12</stp>
        <stp>mxn curncy</stp>
        <stp>chg PCt 6m</stp>
        <stp>[Macro RPRR.xlsx]monitor!R89C16</stp>
        <tr r="P89" s="10"/>
      </tp>
      <tp>
        <v>-1.7944199999999999</v>
        <stp/>
        <stp>##V3_BDPV12</stp>
        <stp>DAX INDEX</stp>
        <stp>CHG PCT 1M</stp>
        <stp>[Macro RPRR.xlsx]eco data!R15C24</stp>
        <tr r="X15" s="8"/>
      </tp>
      <tp>
        <v>-0.59699999999999998</v>
        <stp/>
        <stp>##V3_BDPV12</stp>
        <stp>gspg3m index</stp>
        <stp>px last</stp>
        <stp>[Macro RPRR.xlsx]eco data!R23C13</stp>
        <tr r="M23" s="8"/>
      </tp>
      <tp t="s">
        <v>Commercial Services</v>
        <stp/>
        <stp>##V3_BDPV12</stp>
        <stp>601816 CG Equity</stp>
        <stp>industry group</stp>
        <stp>[Macro RPRR.xlsx]monitor!R29C46</stp>
        <tr r="AT29" s="10"/>
      </tp>
      <tp>
        <v>271442.875</v>
        <stp/>
        <stp>##V3_BDPV12</stp>
        <stp>VOO EQUITY</stp>
        <stp>Fund Total Assets</stp>
        <stp>[Macro RPRR.xlsx]flows!R5C8</stp>
        <tr r="H5" s="12"/>
      </tp>
      <tp>
        <v>1.6600000000000001</v>
        <stp/>
        <stp>##V3_BDPV12</stp>
        <stp>KrbO3m INDEX</stp>
        <stp>px last</stp>
        <stp>[Macro RPRR.xlsx]monitor!R85C14</stp>
        <tr r="N85" s="10"/>
      </tp>
      <tp t="s">
        <v>#N/A N/A</v>
        <stp/>
        <stp>##V3_BDPV12</stp>
        <stp>ehupfr index</stp>
        <stp>CHG neT 1m</stp>
        <stp>[Macro RPRR.xlsx]eco data!R48C15</stp>
        <tr r="O48" s="8"/>
      </tp>
      <tp>
        <v>-5.0000000000000001E-3</v>
        <stp/>
        <stp>##V3_BDPV12</stp>
        <stp>gspg3m index</stp>
        <stp>CHG neT 5d</stp>
        <stp>[Macro RPRR.xlsx]eco data!R23C14</stp>
        <tr r="N23" s="8"/>
      </tp>
      <tp>
        <v>-31.736730000000001</v>
        <stp/>
        <stp>##V3_BDPV12</stp>
        <stp>000002 CS Equity</stp>
        <stp>chg PCt 1yr</stp>
        <stp>[Macro RPRR.xlsx]monitor!R37C44</stp>
        <tr r="AR37" s="10"/>
      </tp>
      <tp>
        <v>-23.10858</v>
        <stp/>
        <stp>##V3_BDPV12</stp>
        <stp>002352 CS Equity</stp>
        <stp>chg PCt 1yr</stp>
        <stp>[Macro RPRR.xlsx]monitor!R16C44</stp>
        <tr r="AR16" s="10"/>
      </tp>
    </main>
    <main first="bofaddin.rtdserver">
      <tp t="e">
        <v>#N/A</v>
        <stp/>
        <stp>BDH|9657627209716027745</stp>
        <tr r="AQ9" s="5"/>
      </tp>
    </main>
    <main first="bloomberg.rtd">
      <tp>
        <v>2.6019000000000001</v>
        <stp/>
        <stp>##V3_BDPV12</stp>
        <stp>usgg2yr index</stp>
        <stp>CHG neT 1yr</stp>
        <stp>[Macro RPRR.xlsx]eco data!R12C7</stp>
        <tr r="G12" s="8"/>
      </tp>
      <tp t="s">
        <v>#N/A N/A</v>
        <stp/>
        <stp>##V3_BDPV12</stp>
        <stp>UKGRABIQ index</stp>
        <stp>CHG neT 1m</stp>
        <stp>[Macro RPRR.xlsx]eco data!R45C6</stp>
        <tr r="F45" s="8"/>
      </tp>
      <tp>
        <v>2.7690000000000001</v>
        <stp/>
        <stp>##V3_BDPV12</stp>
        <stp>GCAN3Y index</stp>
        <stp>LAST TRADE</stp>
        <stp>[Macro RPRR.xlsx]carry+rd!R5C17</stp>
        <tr r="Q5" s="1"/>
      </tp>
      <tp>
        <v>-3.390374</v>
        <stp/>
        <stp>##V3_BDPV12</stp>
        <stp>XIN9I INDEX</stp>
        <stp>CHG PCT 5d</stp>
        <stp>[Macro RPRR.xlsx]eco data!R28C23</stp>
        <tr r="W28" s="8"/>
      </tp>
      <tp t="s">
        <v>#N/A N/A</v>
        <stp/>
        <stp>##V3_BDPV12</stp>
        <stp>UKGRABIQ index</stp>
        <stp>CHG neT 5d</stp>
        <stp>[Macro RPRR.xlsx]eco data!R45C5</stp>
        <tr r="E45" s="8"/>
      </tp>
      <tp>
        <v>-44.984900000000003</v>
        <stp/>
        <stp>##V3_BDPV12</stp>
        <stp>FLTR LN Equity</stp>
        <stp>chg PCt 1yr</stp>
        <stp>[Macro RPRR.xlsx]monitor!R6C32</stp>
        <tr r="AF6" s="10"/>
      </tp>
      <tp>
        <v>2.2827000000000002</v>
        <stp/>
        <stp>##V3_BDPV12</stp>
        <stp>CEEREU curncy</stp>
        <stp>CHG PCT 1yr</stp>
        <stp>[Macro RPRR.xlsx]eco data!R53C16</stp>
        <tr r="P53" s="8"/>
      </tp>
      <tp>
        <v>2.2827000000000002</v>
        <stp/>
        <stp>##V3_BDPV12</stp>
        <stp>CEEREU curncy</stp>
        <stp>CHG PCT 1yr</stp>
        <stp>[Macro RPRR.xlsx]eco data!R40C16</stp>
        <tr r="P40" s="8"/>
      </tp>
      <tp>
        <v>2.2827000000000002</v>
        <stp/>
        <stp>##V3_BDPV12</stp>
        <stp>CEEREU curncy</stp>
        <stp>CHG PCT 1yr</stp>
        <stp>[Macro RPRR.xlsx]eco data!R27C16</stp>
        <tr r="P27" s="8"/>
      </tp>
      <tp>
        <v>2.2827000000000002</v>
        <stp/>
        <stp>##V3_BDPV12</stp>
        <stp>CEEREU curncy</stp>
        <stp>CHG PCT 1yr</stp>
        <stp>[Macro RPRR.xlsx]eco data!R14C16</stp>
        <tr r="P14" s="8"/>
      </tp>
      <tp>
        <v>2.2827000000000002</v>
        <stp/>
        <stp>##V3_BDPV12</stp>
        <stp>CEEREU curncy</stp>
        <stp>CHG PCT 1yr</stp>
        <stp>[Macro RPRR.xlsx]eco data!R14C25</stp>
        <tr r="Y14" s="8"/>
      </tp>
      <tp t="s">
        <v>Insurance</v>
        <stp/>
        <stp>##V3_BDPV12</stp>
        <stp>601628 CG Equity</stp>
        <stp>industry group</stp>
        <stp>[Macro RPRR.xlsx]monitor!R35C46</stp>
        <tr r="AT35" s="10"/>
      </tp>
      <tp t="s">
        <v>Oil&amp;Gas</v>
        <stp/>
        <stp>##V3_BDPV12</stp>
        <stp>600028 CG Equity</stp>
        <stp>industry group</stp>
        <stp>[Macro RPRR.xlsx]monitor!R46C46</stp>
        <tr r="AT46" s="10"/>
      </tp>
      <tp t="s">
        <v>Banks</v>
        <stp/>
        <stp>##V3_BDPV12</stp>
        <stp>601328 CG Equity</stp>
        <stp>industry group</stp>
        <stp>[Macro RPRR.xlsx]monitor!R48C46</stp>
        <tr r="AT48" s="10"/>
      </tp>
      <tp t="s">
        <v>Food</v>
        <stp/>
        <stp>##V3_BDPV12</stp>
        <stp>TSCO LN Equity</stp>
        <stp>industry group</stp>
        <stp>[Macro RPRR.xlsx]monitor!R65C34</stp>
        <tr r="AH65" s="10"/>
      </tp>
      <tp>
        <v>1</v>
        <stp/>
        <stp>##V3_BDPV12</stp>
        <stp>CABROVER INDEX</stp>
        <stp>PX LAST</stp>
        <stp>[Macro RPRR.xlsx]carry+rd!R2C17</stp>
        <tr r="Q2" s="1"/>
      </tp>
      <tp>
        <v>-16.066479999999999</v>
        <stp/>
        <stp>##V3_BDPV12</stp>
        <stp>ANTO LN Equity</stp>
        <stp>chg PCt 1yr</stp>
        <stp>[Macro RPRR.xlsx]monitor!R8C32</stp>
        <tr r="AF8" s="10"/>
      </tp>
      <tp t="s">
        <v>ISHARES CORE DAX DE EUR ACC</v>
        <stp/>
        <stp>##V3_BDPV12</stp>
        <stp>DAXEX GY EQUITY</stp>
        <stp>Name</stp>
        <stp>[Macro RPRR.xlsx]flows!R21C3</stp>
        <tr r="C21" s="12"/>
      </tp>
      <tp t="s">
        <v>#N/A N/A</v>
        <stp/>
        <stp>##V3_BDPV12</stp>
        <stp>ehbbru index</stp>
        <stp>CHG neT 5d</stp>
        <stp>[Macro RPRR.xlsx]eco data!R33C23</stp>
        <tr r="W33" s="8"/>
      </tp>
      <tp t="s">
        <v>#N/A N/A</v>
        <stp/>
        <stp>##V3_BDPV12</stp>
        <stp>ehcaru index</stp>
        <stp>CHG neT 5d</stp>
        <stp>[Macro RPRR.xlsx]eco data!R34C23</stp>
        <tr r="W34" s="8"/>
      </tp>
      <tp>
        <v>7.1295690974531611</v>
        <stp/>
        <stp>##V3_BDPV12</stp>
        <stp>SX7E index</stp>
        <stp>best pe ratio</stp>
        <stp>[Macro RPRR.xlsx]monitor!R37C14</stp>
        <stp>Best_Fperiod_override=2gy</stp>
        <tr r="N37" s="10"/>
      </tp>
      <tp>
        <v>6.2646983658233308</v>
        <stp/>
        <stp>##V3_BDPV12</stp>
        <stp>SX7E index</stp>
        <stp>best pe ratio</stp>
        <stp>[Macro RPRR.xlsx]monitor!R37C15</stp>
        <stp>Best_Fperiod_override=3gy</stp>
        <tr r="O37" s="10"/>
      </tp>
      <tp>
        <v>5.4660929328530088</v>
        <stp/>
        <stp>##V3_BDPV12</stp>
        <stp>SXAE index</stp>
        <stp>best pe ratio</stp>
        <stp>[Macro RPRR.xlsx]monitor!R38C14</stp>
        <stp>Best_Fperiod_override=2gy</stp>
        <tr r="N38" s="10"/>
      </tp>
      <tp>
        <v>5.1658750530940072</v>
        <stp/>
        <stp>##V3_BDPV12</stp>
        <stp>SXAE index</stp>
        <stp>best pe ratio</stp>
        <stp>[Macro RPRR.xlsx]monitor!R38C15</stp>
        <stp>Best_Fperiod_override=3gy</stp>
        <tr r="O38" s="10"/>
      </tp>
      <tp t="s">
        <v>#N/A N/A</v>
        <stp/>
        <stp>##V3_BDPV12</stp>
        <stp>ehupru index</stp>
        <stp>CHG neT 5d</stp>
        <stp>[Macro RPRR.xlsx]eco data!R35C23</stp>
        <tr r="W35" s="8"/>
      </tp>
      <tp>
        <v>6.7565906563409719</v>
        <stp/>
        <stp>##V3_BDPV12</stp>
        <stp>SXEE index</stp>
        <stp>best pe ratio</stp>
        <stp>[Macro RPRR.xlsx]monitor!R39C14</stp>
        <stp>Best_Fperiod_override=2gy</stp>
        <tr r="N39" s="10"/>
      </tp>
      <tp>
        <v>7.4890850307678933</v>
        <stp/>
        <stp>##V3_BDPV12</stp>
        <stp>SXEE index</stp>
        <stp>best pe ratio</stp>
        <stp>[Macro RPRR.xlsx]monitor!R39C15</stp>
        <stp>Best_Fperiod_override=3gy</stp>
        <tr r="O39" s="10"/>
      </tp>
      <tp>
        <v>-29.009350000000001</v>
        <stp/>
        <stp>##V3_BDPV12</stp>
        <stp>000333 CS Equity</stp>
        <stp>chg PCt 1yr</stp>
        <stp>[Macro RPRR.xlsx]monitor!R17C44</stp>
        <tr r="AR17" s="10"/>
      </tp>
    </main>
    <main first="bofaddin.rtdserver">
      <tp t="s">
        <v>#N/A N/A</v>
        <stp/>
        <stp>BDH|2502972818544111129</stp>
        <tr r="AE27" s="8"/>
      </tp>
    </main>
    <main first="bloomberg.rtd">
      <tp>
        <v>2.706</v>
        <stp/>
        <stp>##V3_BDPV12</stp>
        <stp>GCAN2Y index</stp>
        <stp>LAST TRADE</stp>
        <stp>[Macro RPRR.xlsx]carry+rd!R4C17</stp>
        <tr r="Q4" s="1"/>
      </tp>
      <tp>
        <v>-4.2447419999999996</v>
        <stp/>
        <stp>##V3_BDPV12</stp>
        <stp>HLMA LN Equity</stp>
        <stp>chg PCt 1yr</stp>
        <stp>[Macro RPRR.xlsx]monitor!R69C32</stp>
        <tr r="AF69" s="10"/>
      </tp>
      <tp>
        <v>1.6</v>
        <stp/>
        <stp>##V3_BDPV12</stp>
        <stp>jncpiyoy index</stp>
        <stp>CHG neT 1yr</stp>
        <stp>[Macro RPRR.xlsx]eco data!R31C7</stp>
        <tr r="G31" s="8"/>
        <tr r="G31" s="8"/>
      </tp>
      <tp t="s">
        <v>Apparel</v>
        <stp/>
        <stp>##V3_BDPV12</stp>
        <stp>BRBY LN Equity</stp>
        <stp>industry group</stp>
        <stp>[Macro RPRR.xlsx]monitor!R66C34</stp>
        <tr r="AH66" s="10"/>
      </tp>
      <tp>
        <v>12.70073</v>
        <stp/>
        <stp>##V3_BDPV12</stp>
        <stp>CRDA LN Equity</stp>
        <stp>chg PCt 1yr</stp>
        <stp>[Macro RPRR.xlsx]monitor!R41C32</stp>
        <tr r="AF41" s="10"/>
      </tp>
      <tp>
        <v>21.689869999999999</v>
        <stp/>
        <stp>##V3_BDPV12</stp>
        <stp>BT/A LN Equity</stp>
        <stp>chg PCt 1yr</stp>
        <stp>[Macro RPRR.xlsx]monitor!R57C32</stp>
        <tr r="AF57" s="10"/>
      </tp>
      <tp>
        <v>6.7912999999999997</v>
        <stp/>
        <stp>##V3_BDPV12</stp>
        <stp>brl curncy</stp>
        <stp>chg PCt 1m</stp>
        <stp>[Macro RPRR.xlsx]monitor!R88C15</stp>
        <tr r="O88" s="10"/>
      </tp>
      <tp t="s">
        <v>Banks</v>
        <stp/>
        <stp>##V3_BDPV12</stp>
        <stp>601939 CG Equity</stp>
        <stp>industry group</stp>
        <stp>[Macro RPRR.xlsx]monitor!R32C46</stp>
        <tr r="AT32" s="10"/>
      </tp>
      <tp t="s">
        <v>Electronics</v>
        <stp/>
        <stp>##V3_BDPV12</stp>
        <stp>601138 CG Equity</stp>
        <stp>industry group</stp>
        <stp>[Macro RPRR.xlsx]monitor!R40C46</stp>
        <tr r="AT40" s="10"/>
      </tp>
      <tp>
        <v>21.118099999999998</v>
        <stp/>
        <stp>##V3_BDPV12</stp>
        <stp>brl curncy</stp>
        <stp>chg PCt 6m</stp>
        <stp>[Macro RPRR.xlsx]monitor!R88C16</stp>
        <tr r="P88" s="10"/>
      </tp>
      <tp>
        <v>14.62082</v>
        <stp/>
        <stp>##V3_BDPV12</stp>
        <stp>300750 CS Equity</stp>
        <stp>chg PCt 1yr</stp>
        <stp>[Macro RPRR.xlsx]monitor!R9C44</stp>
        <tr r="AR9" s="10"/>
      </tp>
      <tp t="s">
        <v>Machinery-Constr&amp;Mining</v>
        <stp/>
        <stp>##V3_BDPV12</stp>
        <stp>600031 CG Equity</stp>
        <stp>industry group</stp>
        <stp>[Macro RPRR.xlsx]monitor!R11C46</stp>
        <tr r="AT11" s="10"/>
      </tp>
      <tp t="s">
        <v>Diversified Finan Serv</v>
        <stp/>
        <stp>##V3_BDPV12</stp>
        <stp>600030 CG Equity</stp>
        <stp>industry group</stp>
        <stp>[Macro RPRR.xlsx]monitor!R41C46</stp>
        <tr r="AT41" s="10"/>
      </tp>
      <tp t="s">
        <v>#N/A N/A</v>
        <stp/>
        <stp>##V3_BDPV12</stp>
        <stp>RDSA LN Equity</stp>
        <stp>chg PCt 1yr</stp>
        <stp>[Macro RPRR.xlsx]monitor!R64C32</stp>
        <tr r="AF64" s="10"/>
      </tp>
      <tp>
        <v>-0.46300000000000002</v>
        <stp/>
        <stp>##V3_BDPV12</stp>
        <stp>EUR003m INDEX</stp>
        <stp>px last</stp>
        <stp>[Macro RPRR.xlsx]eco data!R24C4</stp>
        <tr r="D24" s="8"/>
      </tp>
      <tp>
        <v>-16.215990000000001</v>
        <stp/>
        <stp>##V3_BDPV12</stp>
        <stp>000568 CS Equity</stp>
        <stp>chg PCt 1yr</stp>
        <stp>[Macro RPRR.xlsx]monitor!R6C44</stp>
        <tr r="AR6" s="10"/>
      </tp>
      <tp t="s">
        <v>Banks</v>
        <stp/>
        <stp>##V3_BDPV12</stp>
        <stp>600036 CG Equity</stp>
        <stp>industry group</stp>
        <stp>[Macro RPRR.xlsx]monitor!R21C46</stp>
        <tr r="AT21" s="10"/>
      </tp>
      <tp>
        <v>-0.12784999999999999</v>
        <stp/>
        <stp>##V3_BDPV12</stp>
        <stp>il0003m index</stp>
        <stp>CHG neT 1yr</stp>
        <stp>[Macro RPRR.xlsx]eco data!R37C16</stp>
        <tr r="P37" s="8"/>
        <tr r="P37" s="8"/>
      </tp>
      <tp>
        <v>-0.02</v>
        <stp/>
        <stp>##V3_BDPV12</stp>
        <stp>SE15 LN EQUITY</stp>
        <stp>MF_tot_1M</stp>
        <stp>[Macro RPRR.xlsx]flows!R28C11</stp>
        <tr r="K28" s="12"/>
      </tp>
      <tp>
        <v>-0.12856999999999999</v>
        <stp/>
        <stp>##V3_BDPV12</stp>
        <stp>eu0003m index</stp>
        <stp>CHG neT 1yr</stp>
        <stp>[Macro RPRR.xlsx]eco data!R11C25</stp>
        <tr r="Y11" s="8"/>
        <tr r="Y11" s="8"/>
      </tp>
      <tp>
        <v>-0.12856999999999999</v>
        <stp/>
        <stp>##V3_BDPV12</stp>
        <stp>eu0003m index</stp>
        <stp>CHG neT 1yr</stp>
        <stp>[Macro RPRR.xlsx]eco data!R50C16</stp>
        <tr r="P50" s="8"/>
        <tr r="P50" s="8"/>
      </tp>
      <tp t="s">
        <v>#N/A N/A</v>
        <stp/>
        <stp>##V3_BDPV12</stp>
        <stp>ehcait index</stp>
        <stp>CHG neT 5d</stp>
        <stp>[Macro RPRR.xlsx]eco data!R34C14</stp>
        <tr r="N34" s="8"/>
      </tp>
      <tp>
        <v>14.407105412222174</v>
        <stp/>
        <stp>##V3_BDPV12</stp>
        <stp>SX86E index</stp>
        <stp>best pe ratio</stp>
        <stp>[Macro RPRR.xlsx]monitor!R55C14</stp>
        <stp>Best_Fperiod_override=2gy</stp>
        <tr r="N55" s="10"/>
      </tp>
      <tp>
        <v>14.115476054296463</v>
        <stp/>
        <stp>##V3_BDPV12</stp>
        <stp>SX86E index</stp>
        <stp>best pe ratio</stp>
        <stp>[Macro RPRR.xlsx]monitor!R55C15</stp>
        <stp>Best_Fperiod_override=3gy</stp>
        <tr r="O55" s="10"/>
      </tp>
      <tp>
        <v>-0.54100000000000004</v>
        <stp/>
        <stp>##V3_BDPV12</stp>
        <stp>EUR001m index</stp>
        <stp>PX LAST</stp>
        <stp>[Macro RPRR.xlsx]carry+rd!R2C26</stp>
        <tr r="Z2" s="1"/>
      </tp>
      <tp>
        <v>-0.54100000000000004</v>
        <stp/>
        <stp>##V3_BDPV12</stp>
        <stp>EUR001m index</stp>
        <stp>PX LAST</stp>
        <stp>[Macro RPRR.xlsx]carry+rd!R2C23</stp>
        <tr r="W2" s="1"/>
      </tp>
      <tp>
        <v>-0.54100000000000004</v>
        <stp/>
        <stp>##V3_BDPV12</stp>
        <stp>EUR001m index</stp>
        <stp>PX LAST</stp>
        <stp>[Macro RPRR.xlsx]carry+rd!R2C20</stp>
        <tr r="T2" s="1"/>
      </tp>
      <tp t="s">
        <v>#N/A N/A</v>
        <stp/>
        <stp>##V3_BDPV12</stp>
        <stp>ehupit index</stp>
        <stp>CHG neT 5d</stp>
        <stp>[Macro RPRR.xlsx]eco data!R35C14</stp>
        <tr r="N35" s="8"/>
      </tp>
      <tp>
        <v>-0.12784999999999999</v>
        <stp/>
        <stp>##V3_BDPV12</stp>
        <stp>sp0003m index</stp>
        <stp>CHG neT 1yr</stp>
        <stp>[Macro RPRR.xlsx]eco data!R24C16</stp>
        <tr r="P24" s="8"/>
        <tr r="P24" s="8"/>
      </tp>
      <tp>
        <v>0.94599999999999995</v>
        <stp/>
        <stp>##V3_BDPV12</stp>
        <stp>gdbr10 index</stp>
        <stp>px last</stp>
        <stp>[Macro RPRR.xlsx]EU countries!R7C7</stp>
        <tr r="G7" s="11"/>
      </tp>
      <tp>
        <v>-0.68</v>
        <stp/>
        <stp>##V3_BDPV12</stp>
        <stp>ATWICNY curncy</stp>
        <stp>CHG PCT 1M</stp>
        <stp>[Macro RPRR.xlsx]eco data!R27C24</stp>
        <tr r="X27" s="8"/>
      </tp>
      <tp>
        <v>1.322668</v>
        <stp/>
        <stp>##V3_BDPV12</stp>
        <stp>MXEU000v index</stp>
        <stp>chg PCt 5yr</stp>
        <stp>[Macro RPRR.xlsx]monitor!R71C7</stp>
        <tr r="G71" s="10"/>
      </tp>
      <tp>
        <v>8.8080359999999995</v>
        <stp/>
        <stp>##V3_BDPV12</stp>
        <stp>MXEU000v index</stp>
        <stp>chg PCt 1yr</stp>
        <stp>[Macro RPRR.xlsx]monitor!R71C6</stp>
        <tr r="F71" s="10"/>
      </tp>
      <tp t="s">
        <v>ISHARES SILVER TRUST</v>
        <stp/>
        <stp>##V3_BDPV12</stp>
        <stp>SLV EQUITY</stp>
        <stp>Name</stp>
        <stp>[Macro RPRR.xlsx]flows!R18C3</stp>
        <tr r="C18" s="12"/>
      </tp>
      <tp>
        <v>0.3</v>
        <stp/>
        <stp>##V3_BDPV12</stp>
        <stp>jncpiyoy index</stp>
        <stp>CHG neT 1m</stp>
        <stp>[Macro RPRR.xlsx]eco data!R31C6</stp>
        <tr r="F31" s="8"/>
        <tr r="F31" s="8"/>
      </tp>
      <tp>
        <v>-19.35324</v>
        <stp/>
        <stp>##V3_BDPV12</stp>
        <stp>600104 CG Equity</stp>
        <stp>chg PCt 1yr</stp>
        <stp>[Macro RPRR.xlsx]monitor!R47C44</stp>
        <tr r="AR47" s="10"/>
      </tp>
      <tp>
        <v>39.529359999999997</v>
        <stp/>
        <stp>##V3_BDPV12</stp>
        <stp>002594 CS Equity</stp>
        <stp>chg PCt 1yr</stp>
        <stp>[Macro RPRR.xlsx]monitor!R28C44</stp>
        <tr r="AR28" s="10"/>
      </tp>
      <tp>
        <v>-29.993639999999999</v>
        <stp/>
        <stp>##V3_BDPV12</stp>
        <stp>002714 CS Equity</stp>
        <stp>chg PCt 1yr</stp>
        <stp>[Macro RPRR.xlsx]monitor!R22C44</stp>
        <tr r="AR22" s="10"/>
      </tp>
      <tp>
        <v>-15.87424</v>
        <stp/>
        <stp>##V3_BDPV12</stp>
        <stp>002304 CS Equity</stp>
        <stp>chg PCt 1yr</stp>
        <stp>[Macro RPRR.xlsx]monitor!R14C44</stp>
        <tr r="AR14" s="10"/>
      </tp>
      <tp t="s">
        <v>#N/A N/A</v>
        <stp/>
        <stp>##V3_BDPV12</stp>
        <stp>jncpiyoy index</stp>
        <stp>CHG neT 5d</stp>
        <stp>[Macro RPRR.xlsx]eco data!R31C5</stp>
        <tr r="E31" s="8"/>
      </tp>
    </main>
    <main first="bloomberg.rtd">
      <tp>
        <v>2.8559999999999999</v>
        <stp/>
        <stp>##V3_BDPV12</stp>
        <stp>GCAN5Y index</stp>
        <stp>LAST TRADE</stp>
        <stp>[Macro RPRR.xlsx]carry+rd!R7C17</stp>
        <tr r="Q7" s="1"/>
      </tp>
      <tp>
        <v>7.47</v>
        <stp/>
        <stp>##V3_BDPV12</stp>
        <stp>ehupfr index</stp>
        <stp>px last</stp>
        <stp>[Macro RPRR.xlsx]eco data!R48C13</stp>
        <tr r="M48" s="8"/>
      </tp>
      <tp>
        <v>13.43</v>
        <stp/>
        <stp>##V3_BDPV12</stp>
        <stp>ehupes index</stp>
        <stp>px last</stp>
        <stp>[Macro RPRR.xlsx]eco data!R22C13</stp>
        <tr r="M22" s="8"/>
      </tp>
      <tp>
        <v>9.0299999999999994</v>
        <stp/>
        <stp>##V3_BDPV12</stp>
        <stp>ehupit index</stp>
        <stp>px last</stp>
        <stp>[Macro RPRR.xlsx]eco data!R35C13</stp>
        <tr r="M35" s="8"/>
      </tp>
      <tp t="s">
        <v>Home Builders</v>
        <stp/>
        <stp>##V3_BDPV12</stp>
        <stp>BDEV LN Equity</stp>
        <stp>industry group</stp>
        <stp>[Macro RPRR.xlsx]monitor!R59C34</stp>
        <tr r="AH59" s="10"/>
      </tp>
      <tp>
        <v>4.3</v>
        <stp/>
        <stp>##V3_BDPV12</stp>
        <stp>ehupru index</stp>
        <stp>px last</stp>
        <stp>[Macro RPRR.xlsx]eco data!R35C22</stp>
        <tr r="V35" s="8"/>
      </tp>
      <tp>
        <v>3.96</v>
        <stp/>
        <stp>##V3_BDPV12</stp>
        <stp>ehupcn index</stp>
        <stp>px last</stp>
        <stp>[Macro RPRR.xlsx]eco data!R22C22</stp>
        <tr r="V22" s="8"/>
      </tp>
      <tp t="s">
        <v>Mining</v>
        <stp/>
        <stp>##V3_BDPV12</stp>
        <stp>FRES LN Equity</stp>
        <stp>industry group</stp>
        <stp>[Macro RPRR.xlsx]monitor!R71C34</stp>
        <tr r="AH71" s="10"/>
      </tp>
      <tp>
        <v>-0.73060000000000003</v>
        <stp/>
        <stp>##V3_BDPV12</stp>
        <stp>sek curncy</stp>
        <stp>chg PCt 1m</stp>
        <stp>[Macro RPRR.xlsx]monitor!R81C15</stp>
        <tr r="O81" s="10"/>
      </tp>
      <tp>
        <v>61.151330000000002</v>
        <stp/>
        <stp>##V3_BDPV12</stp>
        <stp>S5FINL INDEX</stp>
        <stp>chg PCt 5yr</stp>
        <stp>[Macro RPRR.xlsx]monitor!R37C9</stp>
        <tr r="I37" s="10"/>
      </tp>
      <tp t="s">
        <v>Insurance</v>
        <stp/>
        <stp>##V3_BDPV12</stp>
        <stp>LGEN LN Equity</stp>
        <stp>industry group</stp>
        <stp>[Macro RPRR.xlsx]monitor!R44C34</stp>
        <tr r="AH44" s="10"/>
      </tp>
      <tp>
        <v>7.3774610000000003</v>
        <stp/>
        <stp>##V3_BDPV12</stp>
        <stp>S5FINL INDEX</stp>
        <stp>chg PCt 1yr</stp>
        <stp>[Macro RPRR.xlsx]monitor!R37C8</stp>
        <tr r="H37" s="10"/>
      </tp>
      <tp>
        <v>-9.8595000000000006</v>
        <stp/>
        <stp>##V3_BDPV12</stp>
        <stp>sek curncy</stp>
        <stp>chg PCt 6m</stp>
        <stp>[Macro RPRR.xlsx]monitor!R81C16</stp>
        <tr r="P81" s="10"/>
      </tp>
      <tp>
        <v>16.690000000000001</v>
        <stp/>
        <stp>##V3_BDPV12</stp>
        <stp>rucpiyoy INDEX</stp>
        <stp>PX LAST</stp>
        <stp>[Macro RPRR.xlsx]eco data!R31C22</stp>
        <tr r="V31" s="8"/>
      </tp>
      <tp>
        <v>1.3431010000000001</v>
        <stp/>
        <stp>##V3_BDPV12</stp>
        <stp>SPX LN Equity</stp>
        <stp>chg PCt 1yr</stp>
        <stp>[Macro RPRR.xlsx]monitor!R47C32</stp>
        <tr r="AF47" s="10"/>
      </tp>
      <tp t="s">
        <v>Diversified Finan Serv</v>
        <stp/>
        <stp>##V3_BDPV12</stp>
        <stp>LSEG LN Equity</stp>
        <stp>industry group</stp>
        <stp>[Macro RPRR.xlsx]monitor!R61C34</stp>
        <tr r="AH61" s="10"/>
      </tp>
      <tp>
        <v>1.903705</v>
        <stp/>
        <stp>##V3_BDPV12</stp>
        <stp>gtesp10y govt</stp>
        <stp>bid yield</stp>
        <stp>[Macro RPRR.xlsx]eco data!R26C13</stp>
        <tr r="M26" s="8"/>
      </tp>
      <tp>
        <v>0.94234399999999996</v>
        <stp/>
        <stp>##V3_BDPV12</stp>
        <stp>gtdem10y govt</stp>
        <stp>bid yield</stp>
        <stp>[Macro RPRR.xlsx]eco data!R13C22</stp>
        <tr r="V13" s="8"/>
      </tp>
      <tp>
        <v>1.3958520000000001</v>
        <stp/>
        <stp>##V3_BDPV12</stp>
        <stp>gtfrf10y govt</stp>
        <stp>bid yield</stp>
        <stp>[Macro RPRR.xlsx]eco data!R52C13</stp>
        <tr r="M52" s="8"/>
      </tp>
      <tp>
        <v>1.9574389999999999</v>
        <stp/>
        <stp>##V3_BDPV12</stp>
        <stp>gtpte10y govt</stp>
        <stp>bid yield</stp>
        <stp>[Macro RPRR.xlsx]eco data!R13C13</stp>
        <tr r="M13" s="8"/>
      </tp>
      <tp>
        <v>0.496</v>
        <stp/>
        <stp>##V3_BDPV12</stp>
        <stp>gbtp10 index</stp>
        <stp>chg net 5yr</stp>
        <stp>[Macro RPRR.xlsx]monitor!R8C7</stp>
        <tr r="G8" s="10"/>
      </tp>
      <tp>
        <v>1.823</v>
        <stp/>
        <stp>##V3_BDPV12</stp>
        <stp>gbtp10 index</stp>
        <stp>chg net 1yr</stp>
        <stp>[Macro RPRR.xlsx]monitor!R8C6</stp>
        <tr r="F8" s="10"/>
      </tp>
      <tp>
        <v>82406.6484375</v>
        <stp/>
        <stp>##V3_BDPV12</stp>
        <stp>AGG EQUITY</stp>
        <stp>Fund Total Assets</stp>
        <stp>[Macro RPRR.xlsx]flows!R8C8</stp>
        <tr r="H8" s="12"/>
      </tp>
      <tp t="s">
        <v>#N/A N/A</v>
        <stp/>
        <stp>##V3_BDPV12</stp>
        <stp>ehcaes index</stp>
        <stp>CHG neT 5d</stp>
        <stp>[Macro RPRR.xlsx]eco data!R21C14</stp>
        <tr r="N21" s="8"/>
      </tp>
      <tp>
        <v>19.769219949518774</v>
        <stp/>
        <stp>##V3_BDPV12</stp>
        <stp>SX8E index</stp>
        <stp>best pe ratio</stp>
        <stp>[Macro RPRR.xlsx]monitor!R52C14</stp>
        <stp>Best_Fperiod_override=2gy</stp>
        <tr r="N52" s="10"/>
      </tp>
      <tp>
        <v>16.805926542170837</v>
        <stp/>
        <stp>##V3_BDPV12</stp>
        <stp>SX8E index</stp>
        <stp>best pe ratio</stp>
        <stp>[Macro RPRR.xlsx]monitor!R52C15</stp>
        <stp>Best_Fperiod_override=3gy</stp>
        <tr r="O52" s="10"/>
      </tp>
      <tp>
        <v>13.450054869509454</v>
        <stp/>
        <stp>##V3_BDPV12</stp>
        <stp>SX6E index</stp>
        <stp>best pe ratio</stp>
        <stp>[Macro RPRR.xlsx]monitor!R53C14</stp>
        <stp>Best_Fperiod_override=2gy</stp>
        <tr r="N53" s="10"/>
      </tp>
      <tp>
        <v>12.398746915596604</v>
        <stp/>
        <stp>##V3_BDPV12</stp>
        <stp>SX6E index</stp>
        <stp>best pe ratio</stp>
        <stp>[Macro RPRR.xlsx]monitor!R53C15</stp>
        <stp>Best_Fperiod_override=3gy</stp>
        <tr r="O53" s="10"/>
      </tp>
      <tp>
        <v>9.1172871120020602</v>
        <stp/>
        <stp>##V3_BDPV12</stp>
        <stp>SXIE index</stp>
        <stp>best pe ratio</stp>
        <stp>[Macro RPRR.xlsx]monitor!R50C14</stp>
        <stp>Best_Fperiod_override=2gy</stp>
        <tr r="N50" s="10"/>
      </tp>
      <tp>
        <v>8.6293345914148993</v>
        <stp/>
        <stp>##V3_BDPV12</stp>
        <stp>SXIE index</stp>
        <stp>best pe ratio</stp>
        <stp>[Macro RPRR.xlsx]monitor!R50C15</stp>
        <stp>Best_Fperiod_override=3gy</stp>
        <tr r="O50" s="10"/>
      </tp>
      <tp>
        <v>15.282009387919267</v>
        <stp/>
        <stp>##V3_BDPV12</stp>
        <stp>SXDE index</stp>
        <stp>best pe ratio</stp>
        <stp>[Macro RPRR.xlsx]monitor!R51C14</stp>
        <stp>Best_Fperiod_override=2gy</stp>
        <tr r="N51" s="10"/>
      </tp>
      <tp>
        <v>13.822198485914846</v>
        <stp/>
        <stp>##V3_BDPV12</stp>
        <stp>SXDE index</stp>
        <stp>best pe ratio</stp>
        <stp>[Macro RPRR.xlsx]monitor!R51C15</stp>
        <stp>Best_Fperiod_override=3gy</stp>
        <tr r="O51" s="10"/>
      </tp>
      <tp>
        <v>12.407121103743847</v>
        <stp/>
        <stp>##V3_BDPV12</stp>
        <stp>SXXE index</stp>
        <stp>best pe ratio</stp>
        <stp>[Macro RPRR.xlsx]monitor!R56C14</stp>
        <stp>Best_Fperiod_override=2gy</stp>
        <tr r="N56" s="10"/>
      </tp>
      <tp>
        <v>11.414746341677345</v>
        <stp/>
        <stp>##V3_BDPV12</stp>
        <stp>SXXE index</stp>
        <stp>best pe ratio</stp>
        <stp>[Macro RPRR.xlsx]monitor!R56C15</stp>
        <stp>Best_Fperiod_override=3gy</stp>
        <tr r="O56" s="10"/>
      </tp>
      <tp>
        <v>17.975355908740784</v>
        <stp/>
        <stp>##V3_BDPV12</stp>
        <stp>SXME index</stp>
        <stp>best pe ratio</stp>
        <stp>[Macro RPRR.xlsx]monitor!R54C14</stp>
        <stp>Best_Fperiod_override=2gy</stp>
        <tr r="N54" s="10"/>
      </tp>
      <tp>
        <v>16.589918842039047</v>
        <stp/>
        <stp>##V3_BDPV12</stp>
        <stp>SXME index</stp>
        <stp>best pe ratio</stp>
        <stp>[Macro RPRR.xlsx]monitor!R54C15</stp>
        <stp>Best_Fperiod_override=3gy</stp>
        <tr r="O54" s="10"/>
      </tp>
      <tp t="s">
        <v>#N/A N/A</v>
        <stp/>
        <stp>##V3_BDPV12</stp>
        <stp>ehupes index</stp>
        <stp>CHG neT 5d</stp>
        <stp>[Macro RPRR.xlsx]eco data!R22C14</stp>
        <tr r="N22" s="8"/>
      </tp>
      <tp>
        <v>-1.5885910839458819</v>
        <stp/>
        <stp>##V3_BDPV12</stp>
        <stp>SI2 Comdty</stp>
        <stp>chg PCt 6m</stp>
        <stp>[Macro RPRR.xlsx]monitor!R90C5</stp>
        <tr r="E90" s="10"/>
      </tp>
      <tp>
        <v>-3.0658986304481504</v>
        <stp/>
        <stp>##V3_BDPV12</stp>
        <stp>SI2 Comdty</stp>
        <stp>chg PCt 1m</stp>
        <stp>[Macro RPRR.xlsx]monitor!R90C4</stp>
        <tr r="D90" s="10"/>
      </tp>
      <tp>
        <v>-23.543489999999998</v>
        <stp/>
        <stp>##V3_BDPV12</stp>
        <stp>600585 CG Equity</stp>
        <stp>chg PCt 1yr</stp>
        <stp>[Macro RPRR.xlsx]monitor!R51C44</stp>
        <tr r="AR51" s="10"/>
      </tp>
      <tp>
        <v>-29.823810000000002</v>
        <stp/>
        <stp>##V3_BDPV12</stp>
        <stp>300015 CS Equity</stp>
        <stp>chg PCt 1yr</stp>
        <stp>[Macro RPRR.xlsx]monitor!R12C44</stp>
        <tr r="AR12" s="10"/>
      </tp>
      <tp>
        <v>0.97360959999999996</v>
        <stp/>
        <stp>##V3_BDPV12</stp>
        <stp>DAX INDEX</stp>
        <stp>CHG PCT 5d</stp>
        <stp>[Macro RPRR.xlsx]eco data!R15C23</stp>
        <tr r="W15" s="8"/>
      </tp>
      <tp>
        <v>-22.397639999999999</v>
        <stp/>
        <stp>##V3_BDPV12</stp>
        <stp>002475 CS Equity</stp>
        <stp>chg PCt 1yr</stp>
        <stp>[Macro RPRR.xlsx]monitor!R31C44</stp>
        <tr r="AR31" s="10"/>
      </tp>
      <tp>
        <v>2.8260000000000001</v>
        <stp/>
        <stp>##V3_BDPV12</stp>
        <stp>GCAN4Y index</stp>
        <stp>LAST TRADE</stp>
        <stp>[Macro RPRR.xlsx]carry+rd!R6C17</stp>
        <tr r="Q6" s="1"/>
      </tp>
      <tp>
        <v>3.3990659999999999</v>
        <stp/>
        <stp>##V3_BDPV12</stp>
        <stp>LSEG LN Equity</stp>
        <stp>chg PCt 1yr</stp>
        <stp>[Macro RPRR.xlsx]monitor!R61C32</stp>
        <tr r="AF61" s="10"/>
      </tp>
      <tp>
        <v>13.77342</v>
        <stp/>
        <stp>##V3_BDPV12</stp>
        <stp>FERG LN Equity</stp>
        <stp>chg PCt 1yr</stp>
        <stp>[Macro RPRR.xlsx]monitor!R19C32</stp>
        <tr r="AF19" s="10"/>
      </tp>
      <tp t="s">
        <v>Packaging&amp;Containers</v>
        <stp/>
        <stp>##V3_BDPV12</stp>
        <stp>SMDS LN Equity</stp>
        <stp>industry group</stp>
        <stp>[Macro RPRR.xlsx]monitor!R42C34</stp>
        <tr r="AH42" s="10"/>
      </tp>
      <tp t="s">
        <v>Healthcare-Services</v>
        <stp/>
        <stp>##V3_BDPV12</stp>
        <stp>603259 CG Equity</stp>
        <stp>industry group</stp>
        <stp>[Macro RPRR.xlsx]monitor!R10C46</stp>
        <tr r="AT10" s="10"/>
      </tp>
      <tp t="s">
        <v>Food</v>
        <stp/>
        <stp>##V3_BDPV12</stp>
        <stp>OCDO LN Equity</stp>
        <stp>industry group</stp>
        <stp>[Macro RPRR.xlsx]monitor!R23C34</stp>
        <tr r="AH23" s="10"/>
      </tp>
      <tp t="s">
        <v>Forest Products&amp;Paper</v>
        <stp/>
        <stp>##V3_BDPV12</stp>
        <stp>MNDI LN Equity</stp>
        <stp>industry group</stp>
        <stp>[Macro RPRR.xlsx]monitor!R46C34</stp>
        <tr r="AH46" s="10"/>
      </tp>
      <tp t="s">
        <v>Chemicals</v>
        <stp/>
        <stp>##V3_BDPV12</stp>
        <stp>CRDA LN Equity</stp>
        <stp>industry group</stp>
        <stp>[Macro RPRR.xlsx]monitor!R41C34</stp>
        <tr r="AH41" s="10"/>
      </tp>
      <tp t="s">
        <v>Oil&amp;Gas</v>
        <stp/>
        <stp>##V3_BDPV12</stp>
        <stp>601857 CG Equity</stp>
        <stp>industry group</stp>
        <stp>[Macro RPRR.xlsx]monitor!R50C46</stp>
        <tr r="AT50" s="10"/>
      </tp>
      <tp>
        <v>-0.124</v>
        <stp/>
        <stp>##V3_BDPV12</stp>
        <stp>GSPG12M index</stp>
        <stp>LAST TRADE</stp>
        <stp>[Macro RPRR.xlsx]carry+rd!R3C23</stp>
        <tr r="W3" s="1"/>
      </tp>
      <tp>
        <v>-0.13</v>
        <stp/>
        <stp>##V3_BDPV12</stp>
        <stp>GSPT12M index</stp>
        <stp>LAST TRADE</stp>
        <stp>[Macro RPRR.xlsx]carry+rd!R3C26</stp>
        <tr r="Z3" s="1"/>
      </tp>
      <tp>
        <v>22.23713430538243</v>
        <stp/>
        <stp>##V3_BDPV12</stp>
        <stp>SXQE index</stp>
        <stp>best pe ratio</stp>
        <stp>[Macro RPRR.xlsx]monitor!R42C14</stp>
        <stp>Best_Fperiod_override=2gy</stp>
        <tr r="N42" s="10"/>
      </tp>
      <tp>
        <v>20.163055670908967</v>
        <stp/>
        <stp>##V3_BDPV12</stp>
        <stp>SXQE index</stp>
        <stp>best pe ratio</stp>
        <stp>[Macro RPRR.xlsx]monitor!R42C15</stp>
        <stp>Best_Fperiod_override=3gy</stp>
        <tr r="O42" s="10"/>
      </tp>
      <tp>
        <v>17.397528873325516</v>
        <stp/>
        <stp>##V3_BDPV12</stp>
        <stp>SXRE index</stp>
        <stp>best pe ratio</stp>
        <stp>[Macro RPRR.xlsx]monitor!R43C14</stp>
        <stp>Best_Fperiod_override=2gy</stp>
        <tr r="N43" s="10"/>
      </tp>
      <tp>
        <v>15.593110620406605</v>
        <stp/>
        <stp>##V3_BDPV12</stp>
        <stp>SXRE index</stp>
        <stp>best pe ratio</stp>
        <stp>[Macro RPRR.xlsx]monitor!R43C15</stp>
        <stp>Best_Fperiod_override=3gy</stp>
        <tr r="O43" s="10"/>
      </tp>
      <tp>
        <v>14.44117568932573</v>
        <stp/>
        <stp>##V3_BDPV12</stp>
        <stp>SXKE index</stp>
        <stp>best pe ratio</stp>
        <stp>[Macro RPRR.xlsx]monitor!R40C14</stp>
        <stp>Best_Fperiod_override=2gy</stp>
        <tr r="N40" s="10"/>
      </tp>
      <tp>
        <v>12.879161638996569</v>
        <stp/>
        <stp>##V3_BDPV12</stp>
        <stp>SXKE index</stp>
        <stp>best pe ratio</stp>
        <stp>[Macro RPRR.xlsx]monitor!R40C15</stp>
        <stp>Best_Fperiod_override=3gy</stp>
        <tr r="O40" s="10"/>
      </tp>
      <tp>
        <v>8.9295721104689871</v>
        <stp/>
        <stp>##V3_BDPV12</stp>
        <stp>SXPE index</stp>
        <stp>best pe ratio</stp>
        <stp>[Macro RPRR.xlsx]monitor!R41C14</stp>
        <stp>Best_Fperiod_override=2gy</stp>
        <tr r="N41" s="10"/>
      </tp>
      <tp>
        <v>8.9865540345906805</v>
        <stp/>
        <stp>##V3_BDPV12</stp>
        <stp>SXPE index</stp>
        <stp>best pe ratio</stp>
        <stp>[Macro RPRR.xlsx]monitor!R41C15</stp>
        <stp>Best_Fperiod_override=3gy</stp>
        <tr r="O41" s="10"/>
      </tp>
      <tp>
        <v>4.8000000000000001E-2</v>
        <stp/>
        <stp>##V3_BDPV12</stp>
        <stp>gspg3m index</stp>
        <stp>CHG neT 1m</stp>
        <stp>[Macro RPRR.xlsx]eco data!R23C15</stp>
        <tr r="O23" s="8"/>
      </tp>
      <tp>
        <v>11.964670885563725</v>
        <stp/>
        <stp>##V3_BDPV12</stp>
        <stp>SXOE index</stp>
        <stp>best pe ratio</stp>
        <stp>[Macro RPRR.xlsx]monitor!R46C14</stp>
        <stp>Best_Fperiod_override=2gy</stp>
        <tr r="N46" s="10"/>
      </tp>
      <tp>
        <v>10.883204761692955</v>
        <stp/>
        <stp>##V3_BDPV12</stp>
        <stp>SXOE index</stp>
        <stp>best pe ratio</stp>
        <stp>[Macro RPRR.xlsx]monitor!R46C15</stp>
        <stp>Best_Fperiod_override=3gy</stp>
        <tr r="O46" s="10"/>
      </tp>
      <tp>
        <v>14.443942705075818</v>
        <stp/>
        <stp>##V3_BDPV12</stp>
        <stp>SXFE index</stp>
        <stp>best pe ratio</stp>
        <stp>[Macro RPRR.xlsx]monitor!R47C14</stp>
        <stp>Best_Fperiod_override=2gy</stp>
        <tr r="N47" s="10"/>
      </tp>
      <tp>
        <v>12.801363473939656</v>
        <stp/>
        <stp>##V3_BDPV12</stp>
        <stp>SXFE index</stp>
        <stp>best pe ratio</stp>
        <stp>[Macro RPRR.xlsx]monitor!R47C15</stp>
        <stp>Best_Fperiod_override=3gy</stp>
        <tr r="O47" s="10"/>
      </tp>
      <tp>
        <v>14.797558370764371</v>
        <stp/>
        <stp>##V3_BDPV12</stp>
        <stp>SXTE index</stp>
        <stp>best pe ratio</stp>
        <stp>[Macro RPRR.xlsx]monitor!R44C14</stp>
        <stp>Best_Fperiod_override=2gy</stp>
        <tr r="N44" s="10"/>
      </tp>
      <tp>
        <v>11.28042108019736</v>
        <stp/>
        <stp>##V3_BDPV12</stp>
        <stp>SXTE index</stp>
        <stp>best pe ratio</stp>
        <stp>[Macro RPRR.xlsx]monitor!R44C15</stp>
        <stp>Best_Fperiod_override=3gy</stp>
        <tr r="O44" s="10"/>
      </tp>
      <tp>
        <v>16.471563471431086</v>
        <stp/>
        <stp>##V3_BDPV12</stp>
        <stp>SX4E index</stp>
        <stp>best pe ratio</stp>
        <stp>[Macro RPRR.xlsx]monitor!R45C14</stp>
        <stp>Best_Fperiod_override=2gy</stp>
        <tr r="N45" s="10"/>
      </tp>
      <tp>
        <v>15.297382984618615</v>
        <stp/>
        <stp>##V3_BDPV12</stp>
        <stp>SX4E index</stp>
        <stp>best pe ratio</stp>
        <stp>[Macro RPRR.xlsx]monitor!R45C15</stp>
        <stp>Best_Fperiod_override=3gy</stp>
        <tr r="O45" s="10"/>
      </tp>
      <tp t="s">
        <v>#N/A N/A</v>
        <stp/>
        <stp>##V3_BDPV12</stp>
        <stp>ehupfr index</stp>
        <stp>CHG neT 5d</stp>
        <stp>[Macro RPRR.xlsx]eco data!R48C14</stp>
        <tr r="N48" s="8"/>
      </tp>
      <tp>
        <v>19.122097701506124</v>
        <stp/>
        <stp>##V3_BDPV12</stp>
        <stp>SX3E index</stp>
        <stp>best pe ratio</stp>
        <stp>[Macro RPRR.xlsx]monitor!R48C14</stp>
        <stp>Best_Fperiod_override=2gy</stp>
        <tr r="N48" s="10"/>
      </tp>
      <tp>
        <v>17.325093128129531</v>
        <stp/>
        <stp>##V3_BDPV12</stp>
        <stp>SX3E index</stp>
        <stp>best pe ratio</stp>
        <stp>[Macro RPRR.xlsx]monitor!R48C15</stp>
        <stp>Best_Fperiod_override=3gy</stp>
        <tr r="O48" s="10"/>
      </tp>
      <tp>
        <v>15.866137659121971</v>
        <stp/>
        <stp>##V3_BDPV12</stp>
        <stp>SXNE index</stp>
        <stp>best pe ratio</stp>
        <stp>[Macro RPRR.xlsx]monitor!R49C14</stp>
        <stp>Best_Fperiod_override=2gy</stp>
        <tr r="N49" s="10"/>
      </tp>
      <tp>
        <v>14.227808941975278</v>
        <stp/>
        <stp>##V3_BDPV12</stp>
        <stp>SXNE index</stp>
        <stp>best pe ratio</stp>
        <stp>[Macro RPRR.xlsx]monitor!R49C15</stp>
        <stp>Best_Fperiod_override=3gy</stp>
        <tr r="O49" s="10"/>
      </tp>
      <tp>
        <v>7.2253258341536117</v>
        <stp/>
        <stp>##V3_BDPV12</stp>
        <stp>GC2 Comdty</stp>
        <stp>chg PCt 6m</stp>
        <stp>[Macro RPRR.xlsx]monitor!R89C5</stp>
        <tr r="E89" s="10"/>
      </tp>
      <tp>
        <v>0.37369595681735845</v>
        <stp/>
        <stp>##V3_BDPV12</stp>
        <stp>GC2 Comdty</stp>
        <stp>chg PCt 1m</stp>
        <stp>[Macro RPRR.xlsx]monitor!R89C4</stp>
        <tr r="D89" s="10"/>
      </tp>
      <tp>
        <v>-19.21688</v>
        <stp/>
        <stp>##V3_BDPV12</stp>
        <stp>600036 CG Equity</stp>
        <stp>chg PCt 1yr</stp>
        <stp>[Macro RPRR.xlsx]monitor!R21C44</stp>
        <tr r="AR21" s="10"/>
      </tp>
      <tp>
        <v>-51.824820000000003</v>
        <stp/>
        <stp>##V3_BDPV12</stp>
        <stp>600276 CG Equity</stp>
        <stp>chg PCt 1yr</stp>
        <stp>[Macro RPRR.xlsx]monitor!R33C44</stp>
        <tr r="AR33" s="10"/>
      </tp>
      <tp>
        <v>-16.695060000000002</v>
        <stp/>
        <stp>##V3_BDPV12</stp>
        <stp>601816 CG Equity</stp>
        <stp>chg PCt 1yr</stp>
        <stp>[Macro RPRR.xlsx]monitor!R29C44</stp>
        <tr r="AR29" s="10"/>
      </tp>
      <tp>
        <v>-0.87922540000000005</v>
        <stp/>
        <stp>##V3_BDPV12</stp>
        <stp>601166 CG Equity</stp>
        <stp>chg PCt 1yr</stp>
        <stp>[Macro RPRR.xlsx]monitor!R23C44</stp>
        <tr r="AR23" s="10"/>
      </tp>
      <tp>
        <v>-24.285710000000002</v>
        <stp/>
        <stp>##V3_BDPV12</stp>
        <stp>601066 CG Equity</stp>
        <stp>chg PCt 1yr</stp>
        <stp>[Macro RPRR.xlsx]monitor!R36C44</stp>
        <tr r="AR36" s="10"/>
      </tp>
    </main>
    <main first="bofaddin.rtdserver">
      <tp t="s">
        <v>#N/A N/A</v>
        <stp/>
        <stp>BDH|3942317383704217690</stp>
        <tr r="C7" s="13"/>
      </tp>
    </main>
    <main first="bloomberg.rtd">
      <tp>
        <v>2.8170000000000002</v>
        <stp/>
        <stp>##V3_BDPV12</stp>
        <stp>GCAN7Y index</stp>
        <stp>LAST TRADE</stp>
        <stp>[Macro RPRR.xlsx]carry+rd!R8C17</stp>
        <tr r="Q8" s="1"/>
      </tp>
      <tp t="s">
        <v>ISHARES 7-10 YEAR TREASURY B</v>
        <stp/>
        <stp>##V3_BDPV12</stp>
        <stp>IEF EQUITY</stp>
        <stp>Name</stp>
        <stp>[Macro RPRR.xlsx]flows!R13C3</stp>
        <tr r="C13" s="12"/>
      </tp>
      <tp>
        <v>5.0583689999999999</v>
        <stp/>
        <stp>##V3_BDPV12</stp>
        <stp>LAND LN Equity</stp>
        <stp>chg PCt 1yr</stp>
        <stp>[Macro RPRR.xlsx]monitor!R56C32</stp>
        <tr r="AF56" s="10"/>
      </tp>
      <tp>
        <v>1.7207680000000001</v>
        <stp/>
        <stp>##V3_BDPV12</stp>
        <stp>BLND LN Equity</stp>
        <stp>chg PCt 1yr</stp>
        <stp>[Macro RPRR.xlsx]monitor!R26C32</stp>
        <tr r="AF26" s="10"/>
      </tp>
      <tp>
        <v>19.315060027908245</v>
        <stp/>
        <stp>##V3_BDPV12</stp>
        <stp>SPX index</stp>
        <stp>best pe ratio</stp>
        <stp>[Macro RPRR.xlsx]eco data!R15C4</stp>
        <tr r="D15" s="8"/>
      </tp>
      <tp>
        <v>-1.7308870000000001</v>
        <stp/>
        <stp>##V3_BDPV12</stp>
        <stp>XIN9I INDEX</stp>
        <stp>CHG PCT 1M</stp>
        <stp>[Macro RPRR.xlsx]eco data!R28C24</stp>
        <tr r="X28" s="8"/>
      </tp>
      <tp t="s">
        <v>Diversified Finan Serv</v>
        <stp/>
        <stp>##V3_BDPV12</stp>
        <stp>601066 CG Equity</stp>
        <stp>industry group</stp>
        <stp>[Macro RPRR.xlsx]monitor!R36C46</stp>
        <tr r="AT36" s="10"/>
      </tp>
      <tp t="s">
        <v>Banks</v>
        <stp/>
        <stp>##V3_BDPV12</stp>
        <stp>601166 CG Equity</stp>
        <stp>industry group</stp>
        <stp>[Macro RPRR.xlsx]monitor!R23C46</stp>
        <tr r="AT23" s="10"/>
      </tp>
      <tp>
        <v>2183.2719999999999</v>
        <stp/>
        <stp>##V3_BDPV12</stp>
        <stp>XGLE GR EQUITY</stp>
        <stp>Fund Total Assets</stp>
        <stp>[Macro RPRR.xlsx]flows!R30C8</stp>
        <tr r="H30" s="12"/>
      </tp>
      <tp t="s">
        <v>Financials</v>
        <stp/>
        <stp>##V3_BDPV12</stp>
        <stp>HSBA LN Equity</stp>
        <stp>gics sector name</stp>
        <stp>[Macro RPRR.xlsx]monitor!R100C33</stp>
        <tr r="AG100" s="10"/>
      </tp>
      <tp t="s">
        <v>#N/A N/A</v>
        <stp/>
        <stp>##V3_BDPV12</stp>
        <stp>ehcaru index</stp>
        <stp>CHG neT 1m</stp>
        <stp>[Macro RPRR.xlsx]eco data!R34C24</stp>
        <tr r="X34" s="8"/>
      </tp>
      <tp t="s">
        <v>#N/A N/A</v>
        <stp/>
        <stp>##V3_BDPV12</stp>
        <stp>ehbbru index</stp>
        <stp>CHG neT 1m</stp>
        <stp>[Macro RPRR.xlsx]eco data!R33C24</stp>
        <tr r="X33" s="8"/>
      </tp>
      <tp t="s">
        <v>#N/A N/A</v>
        <stp/>
        <stp>##V3_BDPV12</stp>
        <stp>ehupru index</stp>
        <stp>CHG neT 1m</stp>
        <stp>[Macro RPRR.xlsx]eco data!R35C24</stp>
        <tr r="X35" s="8"/>
      </tp>
      <tp t="s">
        <v>ISHARES GOLD TRUST</v>
        <stp/>
        <stp>##V3_BDPV12</stp>
        <stp>IAU EQUITY</stp>
        <stp>Name</stp>
        <stp>[Macro RPRR.xlsx]flows!R16C3</stp>
        <tr r="C16" s="12"/>
      </tp>
      <tp>
        <v>-4.0770369999999998</v>
        <stp/>
        <stp>##V3_BDPV12</stp>
        <stp>600887 CG Equity</stp>
        <stp>chg PCt 1yr</stp>
        <stp>[Macro RPRR.xlsx]monitor!R24C44</stp>
        <tr r="AR24" s="10"/>
      </tp>
      <tp>
        <v>26.6187</v>
        <stp/>
        <stp>##V3_BDPV12</stp>
        <stp>601857 CG Equity</stp>
        <stp>chg PCt 1yr</stp>
        <stp>[Macro RPRR.xlsx]monitor!R50C44</stp>
        <tr r="AR50" s="10"/>
      </tp>
      <tp>
        <v>-81.252420000000001</v>
        <stp/>
        <stp>##V3_BDPV12</stp>
        <stp>002607 CS Equity</stp>
        <stp>chg PCt 1yr</stp>
        <stp>[Macro RPRR.xlsx]monitor!R26C44</stp>
        <tr r="AR26" s="10"/>
      </tp>
      <tp t="s">
        <v>ISHARES 3-7 YEAR TREASURY BO</v>
        <stp/>
        <stp>##V3_BDPV12</stp>
        <stp>IEI EQUITY</stp>
        <stp>Name</stp>
        <stp>[Macro RPRR.xlsx]flows!R12C3</stp>
        <tr r="C12" s="12"/>
      </tp>
      <tp>
        <v>20.407540000000001</v>
        <stp/>
        <stp>##V3_BDPV12</stp>
        <stp>PSI20 INDEX</stp>
        <stp>CHG PCT 1YR</stp>
        <stp>[Macro RPRR.xlsx]eco data!R15C16</stp>
        <tr r="P15" s="8"/>
      </tp>
    </main>
    <main first="bofaddin.rtdserver">
      <tp t="e">
        <v>#N/A</v>
        <stp/>
        <stp>BDH|4821180731345754801</stp>
        <tr r="AO9" s="5"/>
      </tp>
      <tp t="e">
        <v>#N/A</v>
        <stp/>
        <stp>BDH|5146904263594023577</stp>
        <tr r="AX9" s="5"/>
      </tp>
    </main>
    <main first="bloomberg.rtd">
      <tp>
        <v>39.990699999999997</v>
        <stp/>
        <stp>##V3_BDPV12</stp>
        <stp>MXEU000G index</stp>
        <stp>chg PCt 5yr</stp>
        <stp>[Macro RPRR.xlsx]monitor!R72C7</stp>
        <tr r="G72" s="10"/>
      </tp>
      <tp>
        <v>2.2826080000000002</v>
        <stp/>
        <stp>##V3_BDPV12</stp>
        <stp>MXEU000G index</stp>
        <stp>chg PCt 1yr</stp>
        <stp>[Macro RPRR.xlsx]monitor!R72C6</stp>
        <tr r="F72" s="10"/>
      </tp>
      <tp t="s">
        <v>Pharmaceuticals</v>
        <stp/>
        <stp>##V3_BDPV12</stp>
        <stp>600276 CG Equity</stp>
        <stp>industry group</stp>
        <stp>[Macro RPRR.xlsx]monitor!R33C46</stp>
        <tr r="AT33" s="10"/>
      </tp>
      <tp>
        <v>5473.16015625</v>
        <stp/>
        <stp>##V3_BDPV12</stp>
        <stp>INDA US EQUITY</stp>
        <stp>Fund Total Assets</stp>
        <stp>[Macro RPRR.xlsx]flows!R38C8</stp>
        <tr r="H38" s="12"/>
      </tp>
      <tp>
        <v>0.13100000000000001</v>
        <stp/>
        <stp>##V3_BDPV12</stp>
        <stp>Stib3m INDEX</stp>
        <stp>px last</stp>
        <stp>[Macro RPRR.xlsx]monitor!R81C14</stp>
        <tr r="N81" s="10"/>
      </tp>
      <tp t="s">
        <v>#N/A N/A</v>
        <stp/>
        <stp>##V3_BDPV12</stp>
        <stp>ehcait index</stp>
        <stp>CHG neT 1m</stp>
        <stp>[Macro RPRR.xlsx]eco data!R34C15</stp>
        <tr r="O34" s="8"/>
      </tp>
      <tp t="s">
        <v>#N/A Invalid Security</v>
        <stp/>
        <stp>##V3_BDPV12</stp>
        <stp>bcfxrubr curncy</stp>
        <stp>CHG PCT 1yr</stp>
        <stp>[Macro RPRR.xlsx]eco data!R40C25</stp>
        <tr r="Y40" s="8"/>
      </tp>
      <tp t="s">
        <v>#N/A N/A</v>
        <stp/>
        <stp>##V3_BDPV12</stp>
        <stp>ehupit index</stp>
        <stp>CHG neT 1m</stp>
        <stp>[Macro RPRR.xlsx]eco data!R35C15</stp>
        <tr r="O35" s="8"/>
      </tp>
      <tp>
        <v>32.082384897793347</v>
        <stp/>
        <stp>##V3_BDPV12</stp>
        <stp>CL2 Comdty</stp>
        <stp>chg PCt 6m</stp>
        <stp>[Macro RPRR.xlsx]monitor!R88C5</stp>
        <tr r="E88" s="10"/>
      </tp>
      <tp>
        <v>38.369405693603795</v>
        <stp/>
        <stp>##V3_BDPV12</stp>
        <stp>NG2 Comdty</stp>
        <stp>chg PCt 6m</stp>
        <stp>[Macro RPRR.xlsx]monitor!R93C5</stp>
        <tr r="E93" s="10"/>
      </tp>
      <tp>
        <v>-4.2149831276340466</v>
        <stp/>
        <stp>##V3_BDPV12</stp>
        <stp>CL2 Comdty</stp>
        <stp>chg PCt 1m</stp>
        <stp>[Macro RPRR.xlsx]monitor!R88C4</stp>
        <tr r="D88" s="10"/>
      </tp>
      <tp>
        <v>35.644881637724616</v>
        <stp/>
        <stp>##V3_BDPV12</stp>
        <stp>NG2 Comdty</stp>
        <stp>chg PCt 1m</stp>
        <stp>[Macro RPRR.xlsx]monitor!R93C4</stp>
        <tr r="D93" s="10"/>
      </tp>
      <tp t="s">
        <v>ISHARES TIPS BOND ETF</v>
        <stp/>
        <stp>##V3_BDPV12</stp>
        <stp>TIP EQUITY</stp>
        <stp>Name</stp>
        <stp>[Macro RPRR.xlsx]flows!R11C3</stp>
        <tr r="C11" s="12"/>
      </tp>
      <tp>
        <v>-38.998489999999997</v>
        <stp/>
        <stp>##V3_BDPV12</stp>
        <stp>000858 CS Equity</stp>
        <stp>chg PCt 1yr</stp>
        <stp>[Macro RPRR.xlsx]monitor!R30C44</stp>
        <tr r="AR30" s="10"/>
      </tp>
      <tp>
        <v>1.643187</v>
        <stp/>
        <stp>##V3_BDPV12</stp>
        <stp>600028 CG Equity</stp>
        <stp>chg PCt 1yr</stp>
        <stp>[Macro RPRR.xlsx]monitor!R46C44</stp>
        <tr r="AR46" s="10"/>
      </tp>
    </main>
    <main first="bofaddin.rtdserver">
      <tp t="e">
        <v>#N/A</v>
        <stp/>
        <stp>BDH|5427550188959178527</stp>
        <tr r="AR9" s="5"/>
      </tp>
    </main>
    <main first="bloomberg.rtd">
      <tp>
        <v>0.30395250000000001</v>
        <stp/>
        <stp>##V3_BDPV12</stp>
        <stp>601988 CG Equity</stp>
        <stp>chg PCt 1yr</stp>
        <stp>[Macro RPRR.xlsx]monitor!R49C44</stp>
        <tr r="AR49" s="10"/>
      </tp>
      <tp>
        <v>-4.5028129999999997</v>
        <stp/>
        <stp>##V3_BDPV12</stp>
        <stp>601998 CG Equity</stp>
        <stp>chg PCt 1yr</stp>
        <stp>[Macro RPRR.xlsx]monitor!R44C44</stp>
        <tr r="AR44" s="10"/>
      </tp>
      <tp>
        <v>-6.3636350000000004</v>
        <stp/>
        <stp>##V3_BDPV12</stp>
        <stp>601288 CG Equity</stp>
        <stp>chg PCt 1yr</stp>
        <stp>[Macro RPRR.xlsx]monitor!R45C44</stp>
        <tr r="AR45" s="10"/>
      </tp>
      <tp>
        <v>5.9304730000000001</v>
        <stp/>
        <stp>##V3_BDPV12</stp>
        <stp>601328 CG Equity</stp>
        <stp>chg PCt 1yr</stp>
        <stp>[Macro RPRR.xlsx]monitor!R48C44</stp>
        <tr r="AR48" s="10"/>
      </tp>
      <tp>
        <v>-9.193244</v>
        <stp/>
        <stp>##V3_BDPV12</stp>
        <stp>601398 CG Equity</stp>
        <stp>chg PCt 1yr</stp>
        <stp>[Macro RPRR.xlsx]monitor!R43C44</stp>
        <tr r="AR43" s="10"/>
      </tp>
      <tp>
        <v>-15.41653</v>
        <stp/>
        <stp>##V3_BDPV12</stp>
        <stp>601628 CG Equity</stp>
        <stp>chg PCt 1yr</stp>
        <stp>[Macro RPRR.xlsx]monitor!R35C44</stp>
        <tr r="AR35" s="10"/>
      </tp>
      <tp>
        <v>-31.452750000000002</v>
        <stp/>
        <stp>##V3_BDPV12</stp>
        <stp>601138 CG Equity</stp>
        <stp>chg PCt 1yr</stp>
        <stp>[Macro RPRR.xlsx]monitor!R40C44</stp>
        <tr r="AR40" s="10"/>
      </tp>
      <tp>
        <v>48.971400000000003</v>
        <stp/>
        <stp>##V3_BDPV12</stp>
        <stp>601088 CG Equity</stp>
        <stp>chg PCt 1yr</stp>
        <stp>[Macro RPRR.xlsx]monitor!R34C44</stp>
        <tr r="AR34" s="10"/>
      </tp>
      <tp>
        <v>-37.528579999999998</v>
        <stp/>
        <stp>##V3_BDPV12</stp>
        <stp>601318 CG Equity</stp>
        <stp>chg PCt 1yr</stp>
        <stp>[Macro RPRR.xlsx]monitor!R39C44</stp>
        <tr r="AR39" s="10"/>
      </tp>
      <tp>
        <v>-28.968830000000001</v>
        <stp/>
        <stp>##V3_BDPV12</stp>
        <stp>603288 CG Equity</stp>
        <stp>chg PCt 1yr</stp>
        <stp>[Macro RPRR.xlsx]monitor!R19C44</stp>
        <tr r="AR19" s="10"/>
      </tp>
      <tp>
        <v>0.57199999999999995</v>
        <stp/>
        <stp>##V3_BDPV12</stp>
        <stp>gvsk10y index</stp>
        <stp>chg net 1m</stp>
        <stp>[Macro RPRR.xlsx]monitor!R17C4</stp>
        <tr r="D17" s="10"/>
      </tp>
      <tp>
        <v>0.91900000000000004</v>
        <stp/>
        <stp>##V3_BDPV12</stp>
        <stp>gvsk10y index</stp>
        <stp>chg net 6m</stp>
        <stp>[Macro RPRR.xlsx]monitor!R17C5</stp>
        <tr r="E17" s="10"/>
      </tp>
      <tp t="s">
        <v>Food</v>
        <stp/>
        <stp>##V3_BDPV12</stp>
        <stp>603288 CG Equity</stp>
        <stp>industry group</stp>
        <stp>[Macro RPRR.xlsx]monitor!R19C46</stp>
        <tr r="AT19" s="10"/>
      </tp>
      <tp t="s">
        <v>Coal</v>
        <stp/>
        <stp>##V3_BDPV12</stp>
        <stp>601088 CG Equity</stp>
        <stp>industry group</stp>
        <stp>[Macro RPRR.xlsx]monitor!R34C46</stp>
        <tr r="AT34" s="10"/>
      </tp>
      <tp t="s">
        <v>Banks</v>
        <stp/>
        <stp>##V3_BDPV12</stp>
        <stp>601988 CG Equity</stp>
        <stp>industry group</stp>
        <stp>[Macro RPRR.xlsx]monitor!R49C46</stp>
        <tr r="AT49" s="10"/>
      </tp>
      <tp t="s">
        <v>Banks</v>
        <stp/>
        <stp>##V3_BDPV12</stp>
        <stp>601288 CG Equity</stp>
        <stp>industry group</stp>
        <stp>[Macro RPRR.xlsx]monitor!R45C46</stp>
        <tr r="AT45" s="10"/>
      </tp>
      <tp t="s">
        <v>Miscellaneous Manufactur</v>
        <stp/>
        <stp>##V3_BDPV12</stp>
        <stp>SMIN LN Equity</stp>
        <stp>industry group</stp>
        <stp>[Macro RPRR.xlsx]monitor!R52C34</stp>
        <tr r="AH52" s="10"/>
      </tp>
      <tp t="s">
        <v>Consumer Staples</v>
        <stp/>
        <stp>##V3_BDPV12</stp>
        <stp>TSCO LN Equity</stp>
        <stp>gics sector name</stp>
        <stp>[Macro RPRR.xlsx]monitor!R65C33</stp>
        <tr r="AG65" s="10"/>
      </tp>
      <tp>
        <v>-19.32348</v>
        <stp/>
        <stp>##V3_BDPV12</stp>
        <stp>NXT LN Equity</stp>
        <stp>chg PCt 1yr</stp>
        <stp>[Macro RPRR.xlsx]monitor!R31C32</stp>
        <tr r="AF31" s="10"/>
      </tp>
      <tp>
        <v>-72.718590000000006</v>
        <stp/>
        <stp>##V3_BDPV12</stp>
        <stp>JET LN Equity</stp>
        <stp>chg PCt 1yr</stp>
        <stp>[Macro RPRR.xlsx]monitor!R86C32</stp>
        <tr r="AF86" s="10"/>
      </tp>
      <tp>
        <v>24.397220000000001</v>
        <stp/>
        <stp>##V3_BDPV12</stp>
        <stp>SVT LN Equity</stp>
        <stp>chg PCt 1yr</stp>
        <stp>[Macro RPRR.xlsx]monitor!R96C32</stp>
        <tr r="AF96" s="10"/>
      </tp>
      <tp>
        <v>-27.223330000000001</v>
        <stp/>
        <stp>##V3_BDPV12</stp>
        <stp>SMT LN Equity</stp>
        <stp>chg PCt 1yr</stp>
        <stp>[Macro RPRR.xlsx]monitor!R14C32</stp>
        <tr r="AF14" s="10"/>
      </tp>
      <tp t="s">
        <v>Building Materials</v>
        <stp/>
        <stp>##V3_BDPV12</stp>
        <stp>600585 CG Equity</stp>
        <stp>industry group</stp>
        <stp>[Macro RPRR.xlsx]monitor!R51C46</stp>
        <tr r="AT51" s="10"/>
      </tp>
      <tp>
        <v>1.958</v>
        <stp/>
        <stp>##V3_BDPV12</stp>
        <stp>gspt10 index</stp>
        <stp>px last</stp>
        <stp>[Macro RPRR.xlsx]monitor!R10C3</stp>
        <tr r="C10" s="10"/>
      </tp>
      <tp t="s">
        <v>Food</v>
        <stp/>
        <stp>##V3_BDPV12</stp>
        <stp>600887 CG Equity</stp>
        <stp>industry group</stp>
        <stp>[Macro RPRR.xlsx]monitor!R24C46</stp>
        <tr r="AT24" s="10"/>
      </tp>
      <tp>
        <v>6.6</v>
        <stp/>
        <stp>##V3_BDPV12</stp>
        <stp>UKGRABIy INDEX</stp>
        <stp>PX LAST</stp>
        <stp>[Macro RPRR.xlsx]eco data!R45C4</stp>
        <tr r="D45" s="8"/>
      </tp>
      <tp>
        <v>1.198</v>
        <stp/>
        <stp>##V3_BDPV12</stp>
        <stp>gdbr10 index</stp>
        <stp>chg net 1yr</stp>
        <stp>[Macro RPRR.xlsx]monitor!R6C6</stp>
        <tr r="F6" s="10"/>
      </tp>
      <tp>
        <v>0.69299999999999995</v>
        <stp/>
        <stp>##V3_BDPV12</stp>
        <stp>gdbr10 index</stp>
        <stp>chg net 5yr</stp>
        <stp>[Macro RPRR.xlsx]monitor!R6C7</stp>
        <tr r="G6" s="10"/>
      </tp>
      <tp>
        <v>-0.76</v>
        <stp/>
        <stp>##V3_BDPV12</stp>
        <stp>ehcaFR INDEX</stp>
        <stp>PX LAST</stp>
        <stp>[Macro RPRR.xlsx]EU countries!R8C19</stp>
        <tr r="S8" s="11"/>
      </tp>
      <tp>
        <v>104840.1640625</v>
        <stp/>
        <stp>##V3_BDPV12</stp>
        <stp>VEA EQUITY</stp>
        <stp>Fund Total Assets</stp>
        <stp>[Macro RPRR.xlsx]flows!R6C8</stp>
        <tr r="H6" s="12"/>
      </tp>
      <tp t="s">
        <v>Utilities</v>
        <stp/>
        <stp>##V3_BDPV12</stp>
        <stp>NG/ LN Equity</stp>
        <stp>gics sector name</stp>
        <stp>[Macro RPRR.xlsx]monitor!R101C33</stp>
        <tr r="AG101" s="10"/>
      </tp>
      <tp>
        <v>-13.74361</v>
        <stp/>
        <stp>##V3_BDPV12</stp>
        <stp>600519 CG Equity</stp>
        <stp>chg PCt 1yr</stp>
        <stp>[Macro RPRR.xlsx]monitor!R15C44</stp>
        <tr r="AR15" s="10"/>
      </tp>
      <tp>
        <v>-1.5929199999999999</v>
        <stp/>
        <stp>##V3_BDPV12</stp>
        <stp>300059 CS Equity</stp>
        <stp>chg PCt 1yr</stp>
        <stp>[Macro RPRR.xlsx]monitor!R13C44</stp>
        <tr r="AR13" s="10"/>
      </tp>
      <tp>
        <v>-12.35955</v>
        <stp/>
        <stp>##V3_BDPV12</stp>
        <stp>601939 CG Equity</stp>
        <stp>chg PCt 1yr</stp>
        <stp>[Macro RPRR.xlsx]monitor!R32C44</stp>
        <tr r="AR32" s="10"/>
      </tp>
      <tp>
        <v>-13.27975</v>
        <stp/>
        <stp>##V3_BDPV12</stp>
        <stp>603259 CG Equity</stp>
        <stp>chg PCt 1yr</stp>
        <stp>[Macro RPRR.xlsx]monitor!R10C44</stp>
        <tr r="AR10" s="10"/>
      </tp>
    </main>
    <main first="bofaddin.rtdserver">
      <tp t="s">
        <v>#N/A N/A</v>
        <stp/>
        <stp>BDH|2608831686275282270</stp>
        <tr r="A7" s="13"/>
      </tp>
    </main>
    <main first="bloomberg.rtd">
      <tp>
        <v>9.8000000000000007</v>
        <stp/>
        <stp>##V3_BDPV12</stp>
        <stp>spcpeuyy INDEX</stp>
        <stp>px last</stp>
        <stp>[Macro RPRR.xlsx]eco data!R18C13</stp>
        <tr r="M18" s="8"/>
      </tp>
      <tp t="s">
        <v>SPDR GOLD SHARES</v>
        <stp/>
        <stp>##V3_BDPV12</stp>
        <stp>GLD EQUITY</stp>
        <stp>Name</stp>
        <stp>[Macro RPRR.xlsx]flows!R15C3</stp>
        <tr r="C15" s="12"/>
      </tp>
      <tp>
        <v>-16.096450000000001</v>
        <stp/>
        <stp>##V3_BDPV12</stp>
        <stp>ITRK LN Equity</stp>
        <stp>chg PCt 1yr</stp>
        <stp>[Macro RPRR.xlsx]monitor!R78C32</stp>
        <tr r="AF78" s="10"/>
      </tp>
      <tp t="s">
        <v>#N/A Invalid Security</v>
        <stp/>
        <stp>##V3_BDPV12</stp>
        <stp>bcfxrubr curncy</stp>
        <stp>CHG PCT 5d</stp>
        <stp>[Macro RPRR.xlsx]eco data!R40C23</stp>
        <tr r="W40" s="8"/>
      </tp>
      <tp t="s">
        <v>Consumer Staples</v>
        <stp/>
        <stp>##V3_BDPV12</stp>
        <stp>ULVR LN Equity</stp>
        <stp>gics sector name</stp>
        <stp>[Macro RPRR.xlsx]monitor!R94C33</stp>
        <tr r="AG94" s="10"/>
      </tp>
      <tp>
        <v>-2.2833999999999999</v>
        <stp/>
        <stp>##V3_BDPV12</stp>
        <stp>chf curncy</stp>
        <stp>chg PCt 1m</stp>
        <stp>[Macro RPRR.xlsx]monitor!R79C15</stp>
        <tr r="O79" s="10"/>
      </tp>
      <tp t="s">
        <v>Banks</v>
        <stp/>
        <stp>##V3_BDPV12</stp>
        <stp>601998 CG Equity</stp>
        <stp>industry group</stp>
        <stp>[Macro RPRR.xlsx]monitor!R44C46</stp>
        <tr r="AT44" s="10"/>
      </tp>
      <tp t="s">
        <v>Banks</v>
        <stp/>
        <stp>##V3_BDPV12</stp>
        <stp>601398 CG Equity</stp>
        <stp>industry group</stp>
        <stp>[Macro RPRR.xlsx]monitor!R43C46</stp>
        <tr r="AT43" s="10"/>
      </tp>
      <tp>
        <v>-4.0746000000000002</v>
        <stp/>
        <stp>##V3_BDPV12</stp>
        <stp>chf curncy</stp>
        <stp>chg PCt 6m</stp>
        <stp>[Macro RPRR.xlsx]monitor!R79C16</stp>
        <tr r="P79" s="10"/>
      </tp>
      <tp>
        <v>-29.132539999999999</v>
        <stp/>
        <stp>##V3_BDPV12</stp>
        <stp>PRU LN Equity</stp>
        <stp>chg PCt 1yr</stp>
        <stp>[Macro RPRR.xlsx]monitor!R34C32</stp>
        <tr r="AF34" s="10"/>
      </tp>
      <tp>
        <v>-0.8</v>
        <stp/>
        <stp>##V3_BDPV12</stp>
        <stp>JGDPQGDP index</stp>
        <stp>CHG neT 1yr</stp>
        <stp>[Macro RPRR.xlsx]eco data!R32C7</stp>
        <tr r="G32" s="8"/>
        <tr r="G32" s="8"/>
      </tp>
      <tp>
        <v>8.9965130000000002</v>
        <stp/>
        <stp>##V3_BDPV12</stp>
        <stp>UKX INDEX</stp>
        <stp>chg PCt 1yr</stp>
        <stp>[Macro RPRR.xlsx]monitor!R12C16</stp>
        <tr r="P12" s="10"/>
      </tp>
      <tp>
        <v>2.464</v>
        <stp/>
        <stp>##V3_BDPV12</stp>
        <stp>gbtp10 index</stp>
        <stp>px last</stp>
        <stp>[Macro RPRR.xlsx]EU countries!R9C7</stp>
        <tr r="G9" s="11"/>
      </tp>
      <tp>
        <v>4.6957729872709608</v>
        <stp/>
        <stp>##V3_BDPV12</stp>
        <stp>HG2 Comdty</stp>
        <stp>chg PCt 6m</stp>
        <stp>[Macro RPRR.xlsx]monitor!R91C5</stp>
        <tr r="E91" s="10"/>
      </tp>
      <tp>
        <v>-0.78662267195921864</v>
        <stp/>
        <stp>##V3_BDPV12</stp>
        <stp>HG2 Comdty</stp>
        <stp>chg PCt 1m</stp>
        <stp>[Macro RPRR.xlsx]monitor!R91C4</stp>
        <tr r="D91" s="10"/>
      </tp>
    </main>
    <main first="bofaddin.rtdserver">
      <tp t="s">
        <v>#N/A N/A</v>
        <stp/>
        <stp>BDH|6191193956710781496</stp>
        <tr r="F7" s="13"/>
      </tp>
      <tp t="e">
        <v>#N/A</v>
        <stp/>
        <stp>BDH|4308595676350907058</stp>
        <tr r="BA9" s="5"/>
      </tp>
    </main>
    <main first="bloomberg.rtd">
      <tp>
        <v>2.8460000000000001</v>
        <stp/>
        <stp>##V3_BDPV12</stp>
        <stp>gcny10 index</stp>
        <stp>px last</stp>
        <stp>[Macro RPRR.xlsx]monitor!R22C3</stp>
        <tr r="C22" s="10"/>
      </tp>
      <tp>
        <v>-35.898090000000003</v>
        <stp/>
        <stp>##V3_BDPV12</stp>
        <stp>AVV LN Equity</stp>
        <stp>chg PCt 1yr</stp>
        <stp>[Macro RPRR.xlsx]monitor!R73C32</stp>
        <tr r="AF73" s="10"/>
      </tp>
      <tp>
        <v>0.45234249999999998</v>
        <stp/>
        <stp>##V3_BDPV12</stp>
        <stp>RMV LN Equity</stp>
        <stp>chg PCt 1yr</stp>
        <stp>[Macro RPRR.xlsx]monitor!R76C32</stp>
        <tr r="AF76" s="10"/>
      </tp>
      <tp>
        <v>1.9969999999999999</v>
        <stp/>
        <stp>##V3_BDPV12</stp>
        <stp>gukg10 index</stp>
        <stp>px last</stp>
        <stp>[Macro RPRR.xlsx]monitor!R12C3</stp>
        <tr r="C12" s="10"/>
      </tp>
      <tp>
        <v>28.415299999999998</v>
        <stp/>
        <stp>##V3_BDPV12</stp>
        <stp>NG/ LN Equity</stp>
        <stp>chg PCt 1yr</stp>
        <stp>[Macro RPRR.xlsx]monitor!R101C32</stp>
        <tr r="AF101" s="10"/>
      </tp>
      <tp>
        <v>29.338470000000001</v>
        <stp/>
        <stp>##V3_BDPV12</stp>
        <stp>GSK LN Equity</stp>
        <stp>chg PCt 1yr</stp>
        <stp>[Macro RPRR.xlsx]monitor!R102C32</stp>
        <tr r="AF102" s="10"/>
      </tp>
      <tp>
        <v>16.239999999999998</v>
        <stp/>
        <stp>##V3_BDPV12</stp>
        <stp>ruonia INDEX</stp>
        <stp>px last</stp>
        <stp>[Macro RPRR.xlsx]monitor!R93C14</stp>
        <tr r="N93" s="10"/>
      </tp>
      <tp>
        <v>-1.1400000000000001</v>
        <stp/>
        <stp>##V3_BDPV12</stp>
        <stp>ehcapt INDEX</stp>
        <stp>PX LAST</stp>
        <stp>[Macro RPRR.xlsx]eco data!R7C13</stp>
        <tr r="M7" s="8"/>
      </tp>
      <tp>
        <v>1.397</v>
        <stp/>
        <stp>##V3_BDPV12</stp>
        <stp>gfrn10 index</stp>
        <stp>px last</stp>
        <stp>[Macro RPRR.xlsx]EU countries!R8C7</stp>
        <tr r="G8" s="11"/>
      </tp>
      <tp t="s">
        <v>#N/A N/A</v>
        <stp/>
        <stp>##V3_BDPV12</stp>
        <stp>JGDPQGDP index</stp>
        <stp>CHG neT 1m</stp>
        <stp>[Macro RPRR.xlsx]eco data!R32C6</stp>
        <tr r="F32" s="8"/>
      </tp>
      <tp t="s">
        <v>INVESCO DB AGRICULTURE FUND</v>
        <stp/>
        <stp>##V3_BDPV12</stp>
        <stp>DBA EQUITY</stp>
        <stp>Name</stp>
        <stp>[Macro RPRR.xlsx]flows!R19C3</stp>
        <tr r="C19" s="12"/>
      </tp>
      <tp t="s">
        <v>#N/A N/A</v>
        <stp/>
        <stp>##V3_BDPV12</stp>
        <stp>JGDPQGDP index</stp>
        <stp>CHG neT 5d</stp>
        <stp>[Macro RPRR.xlsx]eco data!R32C5</stp>
        <tr r="E32" s="8"/>
      </tp>
      <tp>
        <v>-23.504169999999998</v>
        <stp/>
        <stp>##V3_BDPV12</stp>
        <stp>MNDI LN Equity</stp>
        <stp>chg PCt 1yr</stp>
        <stp>[Macro RPRR.xlsx]monitor!R46C32</stp>
        <tr r="AF46" s="10"/>
      </tp>
      <tp>
        <v>7.1660000000000004</v>
        <stp/>
        <stp>##V3_BDPV12</stp>
        <stp>gind10 index</stp>
        <stp>px last</stp>
        <stp>[Macro RPRR.xlsx]monitor!R23C3</stp>
        <tr r="C23" s="10"/>
      </tp>
      <tp>
        <v>-2.2222</v>
        <stp/>
        <stp>##V3_BDPV12</stp>
        <stp>aud curncy</stp>
        <stp>chg PCt 1m</stp>
        <stp>[Macro RPRR.xlsx]monitor!R83C15</stp>
        <tr r="O83" s="10"/>
      </tp>
      <tp>
        <v>-4.1356000000000002</v>
        <stp/>
        <stp>##V3_BDPV12</stp>
        <stp>nzd curncy</stp>
        <stp>chg PCt 1m</stp>
        <stp>[Macro RPRR.xlsx]monitor!R84C15</stp>
        <tr r="O84" s="10"/>
      </tp>
      <tp>
        <v>-2.1698</v>
        <stp/>
        <stp>##V3_BDPV12</stp>
        <stp>aud curncy</stp>
        <stp>chg PCt 6m</stp>
        <stp>[Macro RPRR.xlsx]monitor!R83C16</stp>
        <tr r="P83" s="10"/>
      </tp>
      <tp>
        <v>-6.7206999999999999</v>
        <stp/>
        <stp>##V3_BDPV12</stp>
        <stp>nzd curncy</stp>
        <stp>chg PCt 6m</stp>
        <stp>[Macro RPRR.xlsx]monitor!R84C16</stp>
        <tr r="P84" s="10"/>
      </tp>
      <tp>
        <v>-37.716479999999997</v>
        <stp/>
        <stp>##V3_BDPV12</stp>
        <stp>RSW LN Equity</stp>
        <stp>chg PCt 1yr</stp>
        <stp>[Macro RPRR.xlsx]monitor!R12C32</stp>
        <tr r="AF12" s="10"/>
      </tp>
      <tp>
        <v>1.63</v>
        <stp/>
        <stp>##V3_BDPV12</stp>
        <stp>gsgb10 index</stp>
        <stp>px last</stp>
        <stp>[Macro RPRR.xlsx]monitor!R13C3</stp>
        <tr r="C13" s="10"/>
      </tp>
      <tp>
        <v>0.94299999999999995</v>
        <stp/>
        <stp>##V3_BDPV12</stp>
        <stp>gdbr2 index</stp>
        <stp>CHG neT 1yr</stp>
        <stp>[Macro RPRR.xlsx]eco data!R25C7</stp>
        <tr r="G25" s="8"/>
        <tr r="G25" s="8"/>
      </tp>
      <tp t="s">
        <v>#N/A N/A</v>
        <stp/>
        <stp>##V3_BDPV12</stp>
        <stp>MXRU INDEX</stp>
        <stp>CHG PCT 1YR</stp>
        <stp>[Macro RPRR.xlsx]eco data!R41C25</stp>
        <tr r="Y41" s="8"/>
      </tp>
      <tp>
        <v>-0.01</v>
        <stp/>
        <stp>##V3_BDPV12</stp>
        <stp>ruonia index</stp>
        <stp>CHG neT 5d</stp>
        <stp>[Macro RPRR.xlsx]eco data!R37C23</stp>
        <tr r="W37" s="8"/>
        <tr r="W37" s="8"/>
      </tp>
      <tp>
        <v>8.5</v>
        <stp/>
        <stp>##V3_BDPV12</stp>
        <stp>umrtit index</stp>
        <stp>px last</stp>
        <stp>[Macro RPRR.xlsx]EU countries!R9C16</stp>
        <tr r="P9" s="11"/>
      </tp>
      <tp>
        <v>0.25</v>
        <stp/>
        <stp>##V3_BDPV12</stp>
        <stp>gjgb10 index</stp>
        <stp>px last</stp>
        <stp>[Macro RPRR.xlsx]monitor!R14C3</stp>
        <tr r="C14" s="10"/>
      </tp>
      <tp>
        <v>-4.0838809999999999</v>
        <stp/>
        <stp>##V3_BDPV12</stp>
        <stp>LGEN LN Equity</stp>
        <stp>chg PCt 1yr</stp>
        <stp>[Macro RPRR.xlsx]monitor!R44C32</stp>
        <tr r="AF44" s="10"/>
      </tp>
      <tp>
        <v>2.98</v>
        <stp/>
        <stp>##V3_BDPV12</stp>
        <stp>gggb10 index</stp>
        <stp>px last</stp>
        <stp>[Macro RPRR.xlsx]monitor!R24C3</stp>
        <tr r="C24" s="10"/>
      </tp>
      <tp t="s">
        <v>Materials</v>
        <stp/>
        <stp>##V3_BDPV12</stp>
        <stp>POLY LN Equity</stp>
        <stp>gics sector name</stp>
        <stp>[Macro RPRR.xlsx]monitor!R93C33</stp>
        <tr r="AG93" s="10"/>
      </tp>
      <tp>
        <v>-0.50523280000000004</v>
        <stp/>
        <stp>##V3_BDPV12</stp>
        <stp>EXPN LN Equity</stp>
        <stp>chg PCt 1yr</stp>
        <stp>[Macro RPRR.xlsx]monitor!R88C32</stp>
        <tr r="AF88" s="10"/>
      </tp>
      <tp>
        <v>4.8</v>
        <stp/>
        <stp>##V3_BDPV12</stp>
        <stp>CNGDPYOY INDEX</stp>
        <stp>PX LAST</stp>
        <stp>[Macro RPRR.xlsx]eco data!R19C22</stp>
        <tr r="V19" s="8"/>
      </tp>
      <tp t="s">
        <v>Financials</v>
        <stp/>
        <stp>##V3_BDPV12</stp>
        <stp>PHNX LN Equity</stp>
        <stp>gics sector name</stp>
        <stp>[Macro RPRR.xlsx]monitor!R74C33</stp>
        <tr r="AG74" s="10"/>
      </tp>
      <tp t="s">
        <v>Communication Services</v>
        <stp/>
        <stp>##V3_BDPV12</stp>
        <stp>PSON LN Equity</stp>
        <stp>gics sector name</stp>
        <stp>[Macro RPRR.xlsx]monitor!R50C33</stp>
        <tr r="AG50" s="10"/>
      </tp>
      <tp>
        <v>-0.1007557</v>
        <stp/>
        <stp>##V3_BDPV12</stp>
        <stp>PSON LN Equity</stp>
        <stp>chg PCt 1yr</stp>
        <stp>[Macro RPRR.xlsx]monitor!R50C32</stp>
        <tr r="AF50" s="10"/>
      </tp>
      <tp>
        <v>-19.3232</v>
        <stp/>
        <stp>##V3_BDPV12</stp>
        <stp>ICP LN Equity</stp>
        <stp>chg PCt 1yr</stp>
        <stp>[Macro RPRR.xlsx]monitor!R10C32</stp>
        <tr r="AF10" s="10"/>
      </tp>
      <tp>
        <v>7.7694260000000002</v>
        <stp/>
        <stp>##V3_BDPV12</stp>
        <stp>STAN LN Equity</stp>
        <stp>chg PCt 1yr</stp>
        <stp>[Macro RPRR.xlsx]monitor!R83C32</stp>
        <tr r="AF83" s="10"/>
      </tp>
      <tp>
        <v>24.99428</v>
        <stp/>
        <stp>##V3_BDPV12</stp>
        <stp>BHP LN Equity</stp>
        <stp>chg PCt 1yr</stp>
        <stp>[Macro RPRR.xlsx]monitor!R20C32</stp>
        <tr r="AF20" s="10"/>
      </tp>
      <tp>
        <v>-9.2609630000000003</v>
        <stp/>
        <stp>##V3_BDPV12</stp>
        <stp>SMIN LN Equity</stp>
        <stp>chg PCt 1yr</stp>
        <stp>[Macro RPRR.xlsx]monitor!R52C32</stp>
        <tr r="AF52" s="10"/>
      </tp>
      <tp>
        <v>6.4678680000000002</v>
        <stp/>
        <stp>##V3_BDPV12</stp>
        <stp>WPP LN Equity</stp>
        <stp>chg PCt 1yr</stp>
        <stp>[Macro RPRR.xlsx]monitor!R16C32</stp>
        <tr r="AF16" s="10"/>
      </tp>
      <tp t="s">
        <v>Electronics</v>
        <stp/>
        <stp>##V3_BDPV12</stp>
        <stp>HLMA LN Equity</stp>
        <stp>industry group</stp>
        <stp>[Macro RPRR.xlsx]monitor!R69C34</stp>
        <tr r="AH69" s="10"/>
      </tp>
      <tp>
        <v>5.9</v>
        <stp/>
        <stp>##V3_BDPV12</stp>
        <stp>gdp dyoy index</stp>
        <stp>px last</stp>
        <stp>[Macro RPRR.xlsx]eco data!R4C4</stp>
        <tr r="D4" s="8"/>
      </tp>
      <tp>
        <v>80947.0234375</v>
        <stp/>
        <stp>##V3_BDPV12</stp>
        <stp>BND EQUITY</stp>
        <stp>Fund Total Assets</stp>
        <stp>[Macro RPRR.xlsx]flows!R9C8</stp>
        <tr r="H9" s="12"/>
      </tp>
      <tp t="s">
        <v>#N/A Invalid Security</v>
        <stp/>
        <stp>##V3_BDPV12</stp>
        <stp>bcfxrubr curncy</stp>
        <stp>CHG PCT 1M</stp>
        <stp>[Macro RPRR.xlsx]eco data!R40C24</stp>
        <tr r="X40" s="8"/>
      </tp>
      <tp>
        <v>3.17</v>
        <stp/>
        <stp>##V3_BDPV12</stp>
        <stp>ehbbjpy index</stp>
        <stp>CHG neT 1yr</stp>
        <stp>[Macro RPRR.xlsx]eco data!R33C7</stp>
        <tr r="G33" s="8"/>
        <tr r="G33" s="8"/>
      </tp>
      <tp t="s">
        <v>Mining</v>
        <stp/>
        <stp>##V3_BDPV12</stp>
        <stp>POLY LN Equity</stp>
        <stp>industry group</stp>
        <stp>[Macro RPRR.xlsx]monitor!R93C34</stp>
        <tr r="AH93" s="10"/>
      </tp>
      <tp>
        <v>-52.50338</v>
        <stp/>
        <stp>##V3_BDPV12</stp>
        <stp>OCDO LN Equity</stp>
        <stp>chg PCt 1yr</stp>
        <stp>[Macro RPRR.xlsx]monitor!R23C32</stp>
        <tr r="AF23" s="10"/>
      </tp>
      <tp>
        <v>9.6047180000000001</v>
        <stp/>
        <stp>##V3_BDPV12</stp>
        <stp>AUTO LN Equity</stp>
        <stp>chg PCt 1yr</stp>
        <stp>[Macro RPRR.xlsx]monitor!R36C32</stp>
        <tr r="AF36" s="10"/>
      </tp>
      <tp>
        <v>3.31</v>
        <stp/>
        <stp>##V3_BDPV12</stp>
        <stp>gvsk10y index</stp>
        <stp>px last</stp>
        <stp>[Macro RPRR.xlsx]monitor!R17C3</stp>
        <tr r="C17" s="10"/>
      </tp>
      <tp>
        <v>-36.794699999999999</v>
        <stp/>
        <stp>##V3_BDPV12</stp>
        <stp>rub curncy</stp>
        <stp>chg PCt 1m</stp>
        <stp>[Macro RPRR.xlsx]monitor!R93C15</stp>
        <tr r="O93" s="10"/>
      </tp>
      <tp>
        <v>-0.2</v>
        <stp/>
        <stp>##V3_BDPV12</stp>
        <stp>UKGRABIQ index</stp>
        <stp>CHG neT 1yr</stp>
        <stp>[Macro RPRR.xlsx]eco data!R45C7</stp>
        <tr r="G45" s="8"/>
        <tr r="G45" s="8"/>
      </tp>
      <tp>
        <v>-38.3294</v>
        <stp/>
        <stp>##V3_BDPV12</stp>
        <stp>rub curncy</stp>
        <stp>chg PCt 6m</stp>
        <stp>[Macro RPRR.xlsx]monitor!R93C16</stp>
        <tr r="P93" s="10"/>
      </tp>
      <tp>
        <v>35.891089999999998</v>
        <stp/>
        <stp>##V3_BDPV12</stp>
        <stp>SGRO LN Equity</stp>
        <stp>chg PCt 1yr</stp>
        <stp>[Macro RPRR.xlsx]monitor!R68C32</stp>
        <tr r="AF68" s="10"/>
      </tp>
      <tp>
        <v>17.99071</v>
        <stp/>
        <stp>##V3_BDPV12</stp>
        <stp>TSCO LN Equity</stp>
        <stp>chg PCt 1yr</stp>
        <stp>[Macro RPRR.xlsx]monitor!R65C32</stp>
        <tr r="AF65" s="10"/>
      </tp>
      <tp>
        <v>6.2954109999999996</v>
        <stp/>
        <stp>##V3_BDPV12</stp>
        <stp>UKX INDEX</stp>
        <stp>chg PCt 5yr</stp>
        <stp>[Macro RPRR.xlsx]monitor!R12C17</stp>
        <tr r="Q12" s="10"/>
      </tp>
      <tp>
        <v>7.4</v>
        <stp/>
        <stp>##V3_BDPV12</stp>
        <stp>umrtfr index</stp>
        <stp>px last</stp>
        <stp>[Macro RPRR.xlsx]EU countries!R8C16</stp>
        <tr r="P8" s="11"/>
      </tp>
      <tp>
        <v>5.5</v>
        <stp/>
        <stp>##V3_BDPV12</stp>
        <stp>gdp cyoy index</stp>
        <stp>px last</stp>
        <stp>[Macro RPRR.xlsx]eco data!R5C4</stp>
        <tr r="D5" s="8"/>
      </tp>
      <tp t="s">
        <v>Banks</v>
        <stp/>
        <stp>##V3_BDPV12</stp>
        <stp>HSBA LN Equity</stp>
        <stp>industry group</stp>
        <stp>[Macro RPRR.xlsx]monitor!R100C34</stp>
        <tr r="AH100" s="10"/>
      </tp>
      <tp t="s">
        <v>Energy</v>
        <stp/>
        <stp>##V3_BDPV12</stp>
        <stp>RDSB LN Equity</stp>
        <stp>gics sector name</stp>
        <stp>[Macro RPRR.xlsx]monitor!R87C33</stp>
        <tr r="AG87" s="10"/>
      </tp>
      <tp t="s">
        <v>Energy</v>
        <stp/>
        <stp>##V3_BDPV12</stp>
        <stp>RDSA LN Equity</stp>
        <stp>gics sector name</stp>
        <stp>[Macro RPRR.xlsx]monitor!R64C33</stp>
        <tr r="AG64" s="10"/>
      </tp>
      <tp t="s">
        <v>Banks</v>
        <stp/>
        <stp>##V3_BDPV12</stp>
        <stp>LLOY LN Equity</stp>
        <stp>industry group</stp>
        <stp>[Macro RPRR.xlsx]monitor!R58C34</stp>
        <tr r="AH58" s="10"/>
      </tp>
      <tp>
        <v>28.053750000000001</v>
        <stp/>
        <stp>##V3_BDPV12</stp>
        <stp>BNZL LN Equity</stp>
        <stp>chg PCt 1yr</stp>
        <stp>[Macro RPRR.xlsx]monitor!R43C32</stp>
        <tr r="AF43" s="10"/>
      </tp>
      <tp t="s">
        <v>Media</v>
        <stp/>
        <stp>##V3_BDPV12</stp>
        <stp>PSON LN Equity</stp>
        <stp>industry group</stp>
        <stp>[Macro RPRR.xlsx]monitor!R50C34</stp>
        <tr r="AH50" s="10"/>
      </tp>
      <tp>
        <v>-87.164389999999997</v>
        <stp/>
        <stp>##V3_BDPV12</stp>
        <stp>EVR LN Equity</stp>
        <stp>chg PCt 1yr</stp>
        <stp>[Macro RPRR.xlsx]monitor!R28C32</stp>
        <tr r="AF28" s="10"/>
      </tp>
      <tp>
        <v>-12.91785</v>
        <stp/>
        <stp>##V3_BDPV12</stp>
        <stp>SDR LN Equity</stp>
        <stp>chg PCt 1yr</stp>
        <stp>[Macro RPRR.xlsx]monitor!R51C32</stp>
        <tr r="AF51" s="10"/>
      </tp>
      <tp>
        <v>-5.6000000000000001E-2</v>
        <stp/>
        <stp>##V3_BDPV12</stp>
        <stp>getb1 index</stp>
        <stp>CHG neT 1yr</stp>
        <stp>[Macro RPRR.xlsx]eco data!R23C7</stp>
        <tr r="G23" s="8"/>
        <tr r="G23" s="8"/>
      </tp>
      <tp>
        <v>9.4781709741247173</v>
        <stp/>
        <stp>##V3_BDPV12</stp>
        <stp>FTSEMIB index</stp>
        <stp>best pe ratio</stp>
        <stp>[Macro RPRR.xlsx]monitor!R8C13</stp>
        <tr r="M8" s="10"/>
      </tp>
    </main>
    <main first="bofaddin.rtdserver">
      <tp t="e">
        <v>#N/A</v>
        <stp/>
        <stp>BDH|6494789152946430171</stp>
        <tr r="AM9" s="5"/>
      </tp>
    </main>
    <main first="bloomberg.rtd">
      <tp>
        <v>6.2558990000000003</v>
        <stp/>
        <stp>##V3_BDPV12</stp>
        <stp>SPX index</stp>
        <stp>chg PCt 1yr</stp>
        <stp>[Macro RPRR.xlsx]monitor!R4C16</stp>
        <tr r="P4" s="10"/>
      </tp>
      <tp>
        <v>87.068539999999999</v>
        <stp/>
        <stp>##V3_BDPV12</stp>
        <stp>SPX index</stp>
        <stp>chg PCt 5yr</stp>
        <stp>[Macro RPRR.xlsx]monitor!R4C17</stp>
        <tr r="Q4" s="10"/>
      </tp>
      <tp t="s">
        <v>Consumer Discretionary</v>
        <stp/>
        <stp>##V3_BDPV12</stp>
        <stp>WTB LN Equity</stp>
        <stp>gics sector name</stp>
        <stp>[Macro RPRR.xlsx]monitor!R53C33</stp>
        <tr r="AG53" s="10"/>
      </tp>
      <tp t="s">
        <v>Communication Services</v>
        <stp/>
        <stp>##V3_BDPV12</stp>
        <stp>WPP LN Equity</stp>
        <stp>gics sector name</stp>
        <stp>[Macro RPRR.xlsx]monitor!R16C33</stp>
        <tr r="AG16" s="10"/>
      </tp>
      <tp t="s">
        <v>Communication Services</v>
        <stp/>
        <stp>##V3_BDPV12</stp>
        <stp>VOD LN Equity</stp>
        <stp>gics sector name</stp>
        <stp>[Macro RPRR.xlsx]monitor!R80C33</stp>
        <tr r="AG80" s="10"/>
      </tp>
      <tp t="s">
        <v>Utilities</v>
        <stp/>
        <stp>##V3_BDPV12</stp>
        <stp>UU/ LN Equity</stp>
        <stp>gics sector name</stp>
        <stp>[Macro RPRR.xlsx]monitor!R98C33</stp>
        <tr r="AG98" s="10"/>
      </tp>
      <tp t="s">
        <v>Real Estate</v>
        <stp/>
        <stp>##V3_BDPV12</stp>
        <stp>SGRO LN Equity</stp>
        <stp>gics sector name</stp>
        <stp>[Macro RPRR.xlsx]monitor!R68C33</stp>
        <tr r="AG68" s="10"/>
      </tp>
      <tp t="s">
        <v>Consumer Discretionary</v>
        <stp/>
        <stp>##V3_BDPV12</stp>
        <stp>TW/ LN Equity</stp>
        <stp>gics sector name</stp>
        <stp>[Macro RPRR.xlsx]monitor!R37C33</stp>
        <tr r="AG37" s="10"/>
      </tp>
      <tp t="s">
        <v>Information Technology</v>
        <stp/>
        <stp>##V3_BDPV12</stp>
        <stp>SGE LN Equity</stp>
        <stp>gics sector name</stp>
        <stp>[Macro RPRR.xlsx]monitor!R62C33</stp>
        <tr r="AG62" s="10"/>
      </tp>
      <tp t="s">
        <v>Financials</v>
        <stp/>
        <stp>##V3_BDPV12</stp>
        <stp>SDR LN Equity</stp>
        <stp>gics sector name</stp>
        <stp>[Macro RPRR.xlsx]monitor!R51C33</stp>
        <tr r="AG51" s="10"/>
      </tp>
      <tp t="s">
        <v>Health Care</v>
        <stp/>
        <stp>##V3_BDPV12</stp>
        <stp>SN/ LN Equity</stp>
        <stp>gics sector name</stp>
        <stp>[Macro RPRR.xlsx]monitor!R99C33</stp>
        <tr r="AG99" s="10"/>
      </tp>
      <tp t="s">
        <v>Financials</v>
        <stp/>
        <stp>##V3_BDPV12</stp>
        <stp>SLA LN Equity</stp>
        <stp>gics sector name</stp>
        <stp>[Macro RPRR.xlsx]monitor!R55C33</stp>
        <tr r="AG55" s="10"/>
      </tp>
      <tp t="s">
        <v>Materials</v>
        <stp/>
        <stp>##V3_BDPV12</stp>
        <stp>SKG LN Equity</stp>
        <stp>gics sector name</stp>
        <stp>[Macro RPRR.xlsx]monitor!R35C33</stp>
        <tr r="AG35" s="10"/>
      </tp>
      <tp t="s">
        <v>#N/A N/A</v>
        <stp/>
        <stp>##V3_BDPV12</stp>
        <stp>SMT LN Equity</stp>
        <stp>gics sector name</stp>
        <stp>[Macro RPRR.xlsx]monitor!R14C33</stp>
        <tr r="AG14" s="10"/>
      </tp>
      <tp t="s">
        <v>Industrials</v>
        <stp/>
        <stp>##V3_BDPV12</stp>
        <stp>SPX LN Equity</stp>
        <stp>gics sector name</stp>
        <stp>[Macro RPRR.xlsx]monitor!R47C33</stp>
        <tr r="AG47" s="10"/>
      </tp>
      <tp t="s">
        <v>Financials</v>
        <stp/>
        <stp>##V3_BDPV12</stp>
        <stp>STJ LN Equity</stp>
        <stp>gics sector name</stp>
        <stp>[Macro RPRR.xlsx]monitor!R22C33</stp>
        <tr r="AG22" s="10"/>
      </tp>
      <tp t="s">
        <v>Utilities</v>
        <stp/>
        <stp>##V3_BDPV12</stp>
        <stp>SSE LN Equity</stp>
        <stp>gics sector name</stp>
        <stp>[Macro RPRR.xlsx]monitor!R82C33</stp>
        <tr r="AG82" s="10"/>
      </tp>
      <tp t="s">
        <v>Utilities</v>
        <stp/>
        <stp>##V3_BDPV12</stp>
        <stp>SVT LN Equity</stp>
        <stp>gics sector name</stp>
        <stp>[Macro RPRR.xlsx]monitor!R96C33</stp>
        <tr r="AG96" s="10"/>
      </tp>
      <tp t="s">
        <v>Insurance</v>
        <stp/>
        <stp>##V3_BDPV12</stp>
        <stp>PHNX LN Equity</stp>
        <stp>industry group</stp>
        <stp>[Macro RPRR.xlsx]monitor!R74C34</stp>
        <tr r="AH74" s="10"/>
      </tp>
      <tp t="s">
        <v>Consumer Staples</v>
        <stp/>
        <stp>##V3_BDPV12</stp>
        <stp>RB/ LN Equity</stp>
        <stp>gics sector name</stp>
        <stp>[Macro RPRR.xlsx]monitor!R91C33</stp>
        <tr r="AG91" s="10"/>
      </tp>
      <tp t="s">
        <v>Materials</v>
        <stp/>
        <stp>##V3_BDPV12</stp>
        <stp>RIO LN Equity</stp>
        <stp>gics sector name</stp>
        <stp>[Macro RPRR.xlsx]monitor!R38C33</stp>
        <tr r="AG38" s="10"/>
      </tp>
      <tp t="s">
        <v>Communication Services</v>
        <stp/>
        <stp>##V3_BDPV12</stp>
        <stp>RMV LN Equity</stp>
        <stp>gics sector name</stp>
        <stp>[Macro RPRR.xlsx]monitor!R76C33</stp>
        <tr r="AG76" s="10"/>
      </tp>
      <tp t="s">
        <v>Industrials</v>
        <stp/>
        <stp>##V3_BDPV12</stp>
        <stp>REL LN Equity</stp>
        <stp>gics sector name</stp>
        <stp>[Macro RPRR.xlsx]monitor!R90C33</stp>
        <tr r="AG90" s="10"/>
      </tp>
      <tp t="s">
        <v>Financials</v>
        <stp/>
        <stp>##V3_BDPV12</stp>
        <stp>RSA LN Equity</stp>
        <stp>gics sector name</stp>
        <stp>[Macro RPRR.xlsx]monitor!R25C33</stp>
        <tr r="AG25" s="10"/>
      </tp>
      <tp t="s">
        <v>Industrials</v>
        <stp/>
        <stp>##V3_BDPV12</stp>
        <stp>RTO LN Equity</stp>
        <stp>gics sector name</stp>
        <stp>[Macro RPRR.xlsx]monitor!R67C33</stp>
        <tr r="AG67" s="10"/>
      </tp>
      <tp t="s">
        <v>Information Technology</v>
        <stp/>
        <stp>##V3_BDPV12</stp>
        <stp>RSW LN Equity</stp>
        <stp>gics sector name</stp>
        <stp>[Macro RPRR.xlsx]monitor!R12C33</stp>
        <tr r="AG12" s="10"/>
      </tp>
      <tp t="s">
        <v>Industrials</v>
        <stp/>
        <stp>##V3_BDPV12</stp>
        <stp>RR/ LN Equity</stp>
        <stp>gics sector name</stp>
        <stp>[Macro RPRR.xlsx]monitor!R97C33</stp>
        <tr r="AG97" s="10"/>
      </tp>
      <tp t="s">
        <v>Consumer Discretionary</v>
        <stp/>
        <stp>##V3_BDPV12</stp>
        <stp>PSN LN Equity</stp>
        <stp>gics sector name</stp>
        <stp>[Macro RPRR.xlsx]monitor!R27C33</stp>
        <tr r="AG27" s="10"/>
      </tp>
      <tp t="s">
        <v>Financials</v>
        <stp/>
        <stp>##V3_BDPV12</stp>
        <stp>PRU LN Equity</stp>
        <stp>gics sector name</stp>
        <stp>[Macro RPRR.xlsx]monitor!R34C33</stp>
        <tr r="AG34" s="10"/>
      </tp>
      <tp t="s">
        <v>#N/A N/A</v>
        <stp/>
        <stp>##V3_BDPV12</stp>
        <stp>PSH LN Equity</stp>
        <stp>gics sector name</stp>
        <stp>[Macro RPRR.xlsx]monitor!R30C33</stp>
        <tr r="AG30" s="10"/>
      </tp>
      <tp t="s">
        <v>Consumer Staples</v>
        <stp/>
        <stp>##V3_BDPV12</stp>
        <stp>SBRY LN Equity</stp>
        <stp>gics sector name</stp>
        <stp>[Macro RPRR.xlsx]monitor!R77C33</stp>
        <tr r="AG77" s="10"/>
      </tp>
      <tp t="s">
        <v>Industrials</v>
        <stp/>
        <stp>##V3_BDPV12</stp>
        <stp>SMIN LN Equity</stp>
        <stp>gics sector name</stp>
        <stp>[Macro RPRR.xlsx]monitor!R52C33</stp>
        <tr r="AG52" s="10"/>
      </tp>
      <tp t="s">
        <v>Materials</v>
        <stp/>
        <stp>##V3_BDPV12</stp>
        <stp>SMDS LN Equity</stp>
        <stp>gics sector name</stp>
        <stp>[Macro RPRR.xlsx]monitor!R42C33</stp>
        <tr r="AG42" s="10"/>
      </tp>
      <tp t="s">
        <v>Financials</v>
        <stp/>
        <stp>##V3_BDPV12</stp>
        <stp>STAN LN Equity</stp>
        <stp>gics sector name</stp>
        <stp>[Macro RPRR.xlsx]monitor!R83C33</stp>
        <tr r="AG83" s="10"/>
      </tp>
      <tp t="s">
        <v>Materials</v>
        <stp/>
        <stp>##V3_BDPV12</stp>
        <stp>EVR LN Equity</stp>
        <stp>gics sector name</stp>
        <stp>[Macro RPRR.xlsx]monitor!R28C33</stp>
        <tr r="AG28" s="10"/>
      </tp>
      <tp t="s">
        <v>Consumer Staples</v>
        <stp/>
        <stp>##V3_BDPV12</stp>
        <stp>DGE LN Equity</stp>
        <stp>gics sector name</stp>
        <stp>[Macro RPRR.xlsx]monitor!R60C33</stp>
        <tr r="AG60" s="10"/>
      </tp>
      <tp t="s">
        <v>Industrials</v>
        <stp/>
        <stp>##V3_BDPV12</stp>
        <stp>DCC LN Equity</stp>
        <stp>gics sector name</stp>
        <stp>[Macro RPRR.xlsx]monitor!R75C33</stp>
        <tr r="AG75" s="10"/>
      </tp>
      <tp t="s">
        <v>Consumer Staples</v>
        <stp/>
        <stp>##V3_BDPV12</stp>
        <stp>CCH LN Equity</stp>
        <stp>gics sector name</stp>
        <stp>[Macro RPRR.xlsx]monitor!R45C33</stp>
        <tr r="AG45" s="10"/>
      </tp>
      <tp t="s">
        <v>Materials</v>
        <stp/>
        <stp>##V3_BDPV12</stp>
        <stp>CRH LN Equity</stp>
        <stp>gics sector name</stp>
        <stp>[Macro RPRR.xlsx]monitor!R33C33</stp>
        <tr r="AG33" s="10"/>
      </tp>
      <tp t="s">
        <v>Consumer Discretionary</v>
        <stp/>
        <stp>##V3_BDPV12</stp>
        <stp>CPG LN Equity</stp>
        <stp>gics sector name</stp>
        <stp>[Macro RPRR.xlsx]monitor!R72C33</stp>
        <tr r="AG72" s="10"/>
      </tp>
      <tp t="s">
        <v>Industrials</v>
        <stp/>
        <stp>##V3_BDPV12</stp>
        <stp>BA/ LN Equity</stp>
        <stp>gics sector name</stp>
        <stp>[Macro RPRR.xlsx]monitor!R95C33</stp>
        <tr r="AG95" s="10"/>
      </tp>
      <tp t="s">
        <v>Materials</v>
        <stp/>
        <stp>##V3_BDPV12</stp>
        <stp>BHP LN Equity</stp>
        <stp>gics sector name</stp>
        <stp>[Macro RPRR.xlsx]monitor!R20C33</stp>
        <tr r="AG20" s="10"/>
      </tp>
      <tp t="s">
        <v>Consumer Discretionary</v>
        <stp/>
        <stp>##V3_BDPV12</stp>
        <stp>BME LN Equity</stp>
        <stp>gics sector name</stp>
        <stp>[Macro RPRR.xlsx]monitor!R11C33</stp>
        <tr r="AG11" s="10"/>
      </tp>
      <tp t="s">
        <v>Consumer Discretionary</v>
        <stp/>
        <stp>##V3_BDPV12</stp>
        <stp>BKG LN Equity</stp>
        <stp>gics sector name</stp>
        <stp>[Macro RPRR.xlsx]monitor!R70C33</stp>
        <tr r="AG70" s="10"/>
      </tp>
      <tp t="s">
        <v>Energy</v>
        <stp/>
        <stp>##V3_BDPV12</stp>
        <stp>BP/ LN Equity</stp>
        <stp>gics sector name</stp>
        <stp>[Macro RPRR.xlsx]monitor!R63C33</stp>
        <tr r="AG63" s="10"/>
      </tp>
      <tp t="s">
        <v>Financials</v>
        <stp/>
        <stp>##V3_BDPV12</stp>
        <stp>ADM LN Equity</stp>
        <stp>gics sector name</stp>
        <stp>[Macro RPRR.xlsx]monitor!R48C33</stp>
        <tr r="AG48" s="10"/>
      </tp>
      <tp t="s">
        <v>Materials</v>
        <stp/>
        <stp>##V3_BDPV12</stp>
        <stp>AAL LN Equity</stp>
        <stp>gics sector name</stp>
        <stp>[Macro RPRR.xlsx]monitor!R32C33</stp>
        <tr r="AG32" s="10"/>
      </tp>
      <tp t="s">
        <v>Consumer Staples</v>
        <stp/>
        <stp>##V3_BDPV12</stp>
        <stp>ABF LN Equity</stp>
        <stp>gics sector name</stp>
        <stp>[Macro RPRR.xlsx]monitor!R49C33</stp>
        <tr r="AG49" s="10"/>
      </tp>
      <tp t="s">
        <v>Information Technology</v>
        <stp/>
        <stp>##V3_BDPV12</stp>
        <stp>AVV LN Equity</stp>
        <stp>gics sector name</stp>
        <stp>[Macro RPRR.xlsx]monitor!R73C33</stp>
        <tr r="AG73" s="10"/>
      </tp>
      <tp t="s">
        <v>Health Care</v>
        <stp/>
        <stp>##V3_BDPV12</stp>
        <stp>AZN LN Equity</stp>
        <stp>gics sector name</stp>
        <stp>[Macro RPRR.xlsx]monitor!R92C33</stp>
        <tr r="AG92" s="10"/>
      </tp>
      <tp t="s">
        <v>Financials</v>
        <stp/>
        <stp>##V3_BDPV12</stp>
        <stp>AV/ LN Equity</stp>
        <stp>gics sector name</stp>
        <stp>[Macro RPRR.xlsx]monitor!R40C33</stp>
        <tr r="AG40" s="10"/>
      </tp>
      <tp t="s">
        <v>REITS</v>
        <stp/>
        <stp>##V3_BDPV12</stp>
        <stp>BLND LN Equity</stp>
        <stp>industry group</stp>
        <stp>[Macro RPRR.xlsx]monitor!R26C34</stp>
        <tr r="AH26" s="10"/>
      </tp>
      <tp t="s">
        <v>REITS</v>
        <stp/>
        <stp>##V3_BDPV12</stp>
        <stp>LAND LN Equity</stp>
        <stp>industry group</stp>
        <stp>[Macro RPRR.xlsx]monitor!R56C34</stp>
        <tr r="AH56" s="10"/>
      </tp>
      <tp t="s">
        <v>Financials</v>
        <stp/>
        <stp>##V3_BDPV12</stp>
        <stp>NWG LN Equity</stp>
        <stp>gics sector name</stp>
        <stp>[Macro RPRR.xlsx]monitor!R24C33</stp>
        <tr r="AG24" s="10"/>
      </tp>
      <tp t="s">
        <v>Consumer Discretionary</v>
        <stp/>
        <stp>##V3_BDPV12</stp>
        <stp>NXT LN Equity</stp>
        <stp>gics sector name</stp>
        <stp>[Macro RPRR.xlsx]monitor!R31C33</stp>
        <tr r="AG31" s="10"/>
      </tp>
      <tp t="s">
        <v>Financials</v>
        <stp/>
        <stp>##V3_BDPV12</stp>
        <stp>MNG LN Equity</stp>
        <stp>gics sector name</stp>
        <stp>[Macro RPRR.xlsx]monitor!R17C33</stp>
        <tr r="AG17" s="10"/>
      </tp>
      <tp t="s">
        <v>Industrials</v>
        <stp/>
        <stp>##V3_BDPV12</stp>
        <stp>MRO LN Equity</stp>
        <stp>gics sector name</stp>
        <stp>[Macro RPRR.xlsx]monitor!R15C33</stp>
        <tr r="AG15" s="10"/>
      </tp>
      <tp>
        <v>6.6000000000000003E-2</v>
        <stp/>
        <stp>##V3_BDPV12</stp>
        <stp>gebr10y index</stp>
        <stp>chg net 1m</stp>
        <stp>[Macro RPRR.xlsx]monitor!R20C4</stp>
        <tr r="D20" s="10"/>
      </tp>
      <tp>
        <v>0.33300000000000002</v>
        <stp/>
        <stp>##V3_BDPV12</stp>
        <stp>gebr10y index</stp>
        <stp>chg net 6m</stp>
        <stp>[Macro RPRR.xlsx]monitor!R20C5</stp>
        <tr r="E20" s="10"/>
      </tp>
      <tp t="s">
        <v>Consumer Discretionary</v>
        <stp/>
        <stp>##V3_BDPV12</stp>
        <stp>JD/ LN Equity</stp>
        <stp>gics sector name</stp>
        <stp>[Macro RPRR.xlsx]monitor!R18C33</stp>
        <tr r="AG18" s="10"/>
      </tp>
      <tp t="s">
        <v>Consumer Discretionary</v>
        <stp/>
        <stp>##V3_BDPV12</stp>
        <stp>JET LN Equity</stp>
        <stp>gics sector name</stp>
        <stp>[Macro RPRR.xlsx]monitor!R86C33</stp>
        <tr r="AG86" s="10"/>
      </tp>
      <tp t="s">
        <v>Financials</v>
        <stp/>
        <stp>##V3_BDPV12</stp>
        <stp>ICP LN Equity</stp>
        <stp>gics sector name</stp>
        <stp>[Macro RPRR.xlsx]monitor!R10C33</stp>
        <tr r="AG10" s="10"/>
      </tp>
      <tp t="s">
        <v>Consumer Staples</v>
        <stp/>
        <stp>##V3_BDPV12</stp>
        <stp>IMB LN Equity</stp>
        <stp>gics sector name</stp>
        <stp>[Macro RPRR.xlsx]monitor!R84C33</stp>
        <tr r="AG84" s="10"/>
      </tp>
      <tp t="s">
        <v>Communication Services</v>
        <stp/>
        <stp>##V3_BDPV12</stp>
        <stp>INF LN Equity</stp>
        <stp>gics sector name</stp>
        <stp>[Macro RPRR.xlsx]monitor!R54C33</stp>
        <tr r="AG54" s="10"/>
      </tp>
      <tp t="s">
        <v>Financials</v>
        <stp/>
        <stp>##V3_BDPV12</stp>
        <stp>III LN Equity</stp>
        <stp>gics sector name</stp>
        <stp>[Macro RPRR.xlsx]monitor!R39C33</stp>
        <tr r="AG39" s="10"/>
      </tp>
      <tp t="s">
        <v>Consumer Discretionary</v>
        <stp/>
        <stp>##V3_BDPV12</stp>
        <stp>IHG LN Equity</stp>
        <stp>gics sector name</stp>
        <stp>[Macro RPRR.xlsx]monitor!R29C33</stp>
        <tr r="AG29" s="10"/>
      </tp>
      <tp t="s">
        <v>Health Care</v>
        <stp/>
        <stp>##V3_BDPV12</stp>
        <stp>HIK LN Equity</stp>
        <stp>gics sector name</stp>
        <stp>[Macro RPRR.xlsx]monitor!R85C33</stp>
        <tr r="AG85" s="10"/>
      </tp>
      <tp t="s">
        <v>Financials</v>
        <stp/>
        <stp>##V3_BDPV12</stp>
        <stp>HL/ LN Equity</stp>
        <stp>gics sector name</stp>
        <stp>[Macro RPRR.xlsx]monitor!R81C33</stp>
        <tr r="AG81" s="10"/>
      </tp>
      <tp>
        <v>10.520561508971316</v>
        <stp/>
        <stp>##V3_BDPV12</stp>
        <stp>GT10 Govt</stp>
        <stp>yld CHG neT 5d</stp>
        <stp>[Macro RPRR.xlsx]eco data!R13C5</stp>
        <tr r="E13" s="8"/>
      </tp>
      <tp>
        <v>55.027911508971307</v>
        <stp/>
        <stp>##V3_BDPV12</stp>
        <stp>GT10 Govt</stp>
        <stp>yld CHG neT 1m</stp>
        <stp>[Macro RPRR.xlsx]eco data!R13C6</stp>
        <tr r="F13" s="8"/>
      </tp>
      <tp>
        <v>0.67115550000000002</v>
        <stp/>
        <stp>##V3_BDPV12</stp>
        <stp>IBEX INDEX</stp>
        <stp>CHG PCT 1YR</stp>
        <stp>[Macro RPRR.xlsx]eco data!R28C16</stp>
        <tr r="P28" s="8"/>
      </tp>
      <tp>
        <v>2.59</v>
        <stp/>
        <stp>##V3_BDPV12</stp>
        <stp>ehcaEU INDEX</stp>
        <stp>PX LAST</stp>
        <stp>[Macro RPRR.xlsx]EU countries!R5C19</stp>
        <tr r="S5" s="11"/>
      </tp>
      <tp>
        <v>-3.59</v>
        <stp/>
        <stp>##V3_BDPV12</stp>
        <stp>ruonia index</stp>
        <stp>CHG neT 1m</stp>
        <stp>[Macro RPRR.xlsx]eco data!R37C24</stp>
        <tr r="X37" s="8"/>
        <tr r="X37" s="8"/>
      </tp>
      <tp>
        <v>29.520412783578109</v>
        <stp/>
        <stp>##V3_BDPV12</stp>
        <stp>GT2 Govt</stp>
        <stp>yld CHG neT 5d</stp>
        <stp>[Macro RPRR.xlsx]eco data!R12C5</stp>
        <tr r="E12" s="8"/>
      </tp>
      <tp>
        <v>58.395062783578091</v>
        <stp/>
        <stp>##V3_BDPV12</stp>
        <stp>GT2 Govt</stp>
        <stp>yld CHG neT 1m</stp>
        <stp>[Macro RPRR.xlsx]eco data!R12C6</stp>
        <tr r="F12" s="8"/>
      </tp>
      <tp>
        <v>-1.943651</v>
        <stp/>
        <stp>##V3_BDPV12</stp>
        <stp>SX5E index</stp>
        <stp>chg PCt 1m</stp>
        <stp>[Macro RPRR.xlsx]monitor!R73C4</stp>
        <tr r="D73" s="10"/>
      </tp>
      <tp>
        <v>-8.0929909999999996</v>
        <stp/>
        <stp>##V3_BDPV12</stp>
        <stp>SX5E index</stp>
        <stp>chg PCt 6m</stp>
        <stp>[Macro RPRR.xlsx]monitor!R73C5</stp>
        <tr r="E73" s="10"/>
      </tp>
      <tp>
        <v>17.641287018226159</v>
        <stp/>
        <stp>##V3_BDPV12</stp>
        <stp>SPX INDEX</stp>
        <stp>best pe ratio</stp>
        <stp>[Macro RPRR.xlsx]monitor!R48C4</stp>
        <stp>Best_Fperiod_override=2gy</stp>
        <tr r="D48" s="10"/>
      </tp>
      <tp>
        <v>16.211514634824681</v>
        <stp/>
        <stp>##V3_BDPV12</stp>
        <stp>SPX INDEX</stp>
        <stp>best pe ratio</stp>
        <stp>[Macro RPRR.xlsx]monitor!R48C5</stp>
        <stp>Best_Fperiod_override=3gy</stp>
        <tr r="E48" s="10"/>
      </tp>
      <tp>
        <v>8.827</v>
        <stp/>
        <stp>##V3_BDPV12</stp>
        <stp>gmxn10yr index</stp>
        <stp>px last</stp>
        <stp>[Macro RPRR.xlsx]monitor!R21C3</stp>
        <tr r="C21" s="10"/>
      </tp>
      <tp t="s">
        <v>Financials</v>
        <stp/>
        <stp>##V3_BDPV12</stp>
        <stp>LGEN LN Equity</stp>
        <stp>gics sector name</stp>
        <stp>[Macro RPRR.xlsx]monitor!R44C33</stp>
        <tr r="AG44" s="10"/>
      </tp>
      <tp t="s">
        <v>Real Estate</v>
        <stp/>
        <stp>##V3_BDPV12</stp>
        <stp>LAND LN Equity</stp>
        <stp>gics sector name</stp>
        <stp>[Macro RPRR.xlsx]monitor!R56C33</stp>
        <tr r="AG56" s="10"/>
      </tp>
      <tp t="s">
        <v>Financials</v>
        <stp/>
        <stp>##V3_BDPV12</stp>
        <stp>LLOY LN Equity</stp>
        <stp>gics sector name</stp>
        <stp>[Macro RPRR.xlsx]monitor!R58C33</stp>
        <tr r="AG58" s="10"/>
      </tp>
      <tp t="s">
        <v>Financials</v>
        <stp/>
        <stp>##V3_BDPV12</stp>
        <stp>LSEG LN Equity</stp>
        <stp>gics sector name</stp>
        <stp>[Macro RPRR.xlsx]monitor!R61C33</stp>
        <tr r="AG61" s="10"/>
      </tp>
      <tp>
        <v>19.99231</v>
        <stp/>
        <stp>##V3_BDPV12</stp>
        <stp>AAL LN Equity</stp>
        <stp>chg PCt 1yr</stp>
        <stp>[Macro RPRR.xlsx]monitor!R32C32</stp>
        <tr r="AF32" s="10"/>
      </tp>
      <tp>
        <v>23.745819999999998</v>
        <stp/>
        <stp>##V3_BDPV12</stp>
        <stp>REL LN Equity</stp>
        <stp>chg PCt 1yr</stp>
        <stp>[Macro RPRR.xlsx]monitor!R90C32</stp>
        <tr r="AF90" s="10"/>
      </tp>
      <tp t="s">
        <v>Healthcare-Services</v>
        <stp/>
        <stp>##V3_BDPV12</stp>
        <stp>300015 CS Equity</stp>
        <stp>industry group</stp>
        <stp>[Macro RPRR.xlsx]monitor!R12C46</stp>
        <tr r="AT12" s="10"/>
      </tp>
      <tp>
        <v>-14.583080000000001</v>
        <stp/>
        <stp>##V3_BDPV12</stp>
        <stp>ULVR LN Equity</stp>
        <stp>chg PCt 1yr</stp>
        <stp>[Macro RPRR.xlsx]monitor!R94C32</stp>
        <tr r="AF94" s="10"/>
      </tp>
      <tp>
        <v>8411.1509999999998</v>
        <stp/>
        <stp>##V3_BDPV12</stp>
        <stp>IEAC LN EQUITY</stp>
        <stp>Fund Total Assets</stp>
        <stp>[Macro RPRR.xlsx]flows!R27C8</stp>
        <tr r="H27" s="12"/>
      </tp>
      <tp t="s">
        <v>ISHARES MSCI BRAZIL ETF</v>
        <stp/>
        <stp>##V3_BDPV12</stp>
        <stp>EWZ EQUITY</stp>
        <stp>Name</stp>
        <stp>[Macro RPRR.xlsx]flows!R36C3</stp>
        <tr r="C36" s="12"/>
      </tp>
      <tp t="s">
        <v>ISHARES IBOXX INVESTMENT GRA</v>
        <stp/>
        <stp>##V3_BDPV12</stp>
        <stp>LQD EQUITY</stp>
        <stp>Name</stp>
        <stp>[Macro RPRR.xlsx]flows!R10C3</stp>
        <tr r="C10" s="12"/>
      </tp>
      <tp>
        <v>23.131609999999998</v>
        <stp/>
        <stp>##V3_BDPV12</stp>
        <stp>BATS LN Equity</stp>
        <stp>chg PCt 1yr</stp>
        <stp>[Macro RPRR.xlsx]monitor!R89C32</stp>
        <tr r="AF89" s="10"/>
      </tp>
      <tp t="s">
        <v>Materials</v>
        <stp/>
        <stp>##V3_BDPV12</stp>
        <stp>MNDI LN Equity</stp>
        <stp>gics sector name</stp>
        <stp>[Macro RPRR.xlsx]monitor!R46C33</stp>
        <tr r="AG46" s="10"/>
      </tp>
      <tp>
        <v>-14.571870000000001</v>
        <stp/>
        <stp>##V3_BDPV12</stp>
        <stp>FRES LN Equity</stp>
        <stp>chg PCt 1yr</stp>
        <stp>[Macro RPRR.xlsx]monitor!R71C32</stp>
        <tr r="AF71" s="10"/>
      </tp>
      <tp t="s">
        <v>Commercial Services</v>
        <stp/>
        <stp>##V3_BDPV12</stp>
        <stp>EXPN LN Equity</stp>
        <stp>industry group</stp>
        <stp>[Macro RPRR.xlsx]monitor!R88C34</stp>
        <tr r="AH88" s="10"/>
      </tp>
      <tp>
        <v>9.9256999999999991</v>
        <stp/>
        <stp>##V3_BDPV12</stp>
        <stp>micxru10y INDEX</stp>
        <stp>PX LAST</stp>
        <stp>[Macro RPRR.xlsx]eco data!R39C22</stp>
        <tr r="V39" s="8"/>
      </tp>
      <tp t="s">
        <v>Home Furnishings</v>
        <stp/>
        <stp>##V3_BDPV12</stp>
        <stp>000333 CS Equity</stp>
        <stp>industry group</stp>
        <stp>[Macro RPRR.xlsx]monitor!R17C46</stp>
        <tr r="AT17" s="10"/>
      </tp>
      <tp>
        <v>-18.32986</v>
        <stp/>
        <stp>##V3_BDPV12</stp>
        <stp>ADM LN Equity</stp>
        <stp>chg PCt 1yr</stp>
        <stp>[Macro RPRR.xlsx]monitor!R48C32</stp>
        <tr r="AF48" s="10"/>
      </tp>
      <tp>
        <v>-21.011859999999999</v>
        <stp/>
        <stp>##V3_BDPV12</stp>
        <stp>SMDS LN Equity</stp>
        <stp>chg PCt 1yr</stp>
        <stp>[Macro RPRR.xlsx]monitor!R42C32</stp>
        <tr r="AF42" s="10"/>
      </tp>
      <tp>
        <v>26.955480000000001</v>
        <stp/>
        <stp>##V3_BDPV12</stp>
        <stp>HSBA LN Equity</stp>
        <stp>chg PCt 1yr</stp>
        <stp>[Macro RPRR.xlsx]monitor!R100C32</stp>
        <tr r="AF100" s="10"/>
      </tp>
      <tp>
        <v>-7.2257949999999997</v>
        <stp/>
        <stp>##V3_BDPV12</stp>
        <stp>DAX INDEX</stp>
        <stp>CHG PCT 1YR</stp>
        <stp>[Macro RPRR.xlsx]eco data!R15C25</stp>
        <tr r="Y15" s="8"/>
      </tp>
      <tp>
        <v>5.257784</v>
        <stp/>
        <stp>##V3_BDPV12</stp>
        <stp>CAC INDEX</stp>
        <stp>CHG PCT 1YR</stp>
        <stp>[Macro RPRR.xlsx]eco data!R54C16</stp>
        <tr r="P54" s="8"/>
      </tp>
      <tp t="s">
        <v>#N/A N/A</v>
        <stp/>
        <stp>##V3_BDPV12</stp>
        <stp>EUGNEMUQ index</stp>
        <stp>CHG neT 5d</stp>
        <stp>[Macro RPRR.xlsx]eco data!R19C5</stp>
        <tr r="E19" s="8"/>
      </tp>
      <tp t="s">
        <v>#N/A N/A</v>
        <stp/>
        <stp>##V3_BDPV12</stp>
        <stp>EUGNEMUQ index</stp>
        <stp>CHG neT 1m</stp>
        <stp>[Macro RPRR.xlsx]eco data!R19C6</stp>
        <tr r="F19" s="8"/>
      </tp>
      <tp t="s">
        <v>#N/A N/A</v>
        <stp/>
        <stp>##V3_BDPV12</stp>
        <stp>MXRU INDEX</stp>
        <stp>CHG PCT 5d</stp>
        <stp>[Macro RPRR.xlsx]eco data!R41C23</stp>
        <tr r="W41" s="8"/>
      </tp>
      <tp>
        <v>12.75228131613799</v>
        <stp/>
        <stp>##V3_BDPV12</stp>
        <stp>SX5E index</stp>
        <stp>best pe ratio</stp>
        <stp>[Macro RPRR.xlsx]eco data!R28C4</stp>
        <tr r="D28" s="8"/>
      </tp>
      <tp>
        <v>0.68479999999999996</v>
        <stp/>
        <stp>##V3_BDPV12</stp>
        <stp>CEEREU curncy</stp>
        <stp>CHG PCT 5d</stp>
        <stp>[Macro RPRR.xlsx]eco data!R53C14</stp>
        <tr r="N53" s="8"/>
      </tp>
      <tp>
        <v>0.68479999999999996</v>
        <stp/>
        <stp>##V3_BDPV12</stp>
        <stp>CEEREU curncy</stp>
        <stp>CHG PCT 5d</stp>
        <stp>[Macro RPRR.xlsx]eco data!R40C14</stp>
        <tr r="N40" s="8"/>
      </tp>
      <tp>
        <v>0.68479999999999996</v>
        <stp/>
        <stp>##V3_BDPV12</stp>
        <stp>CEEREU curncy</stp>
        <stp>CHG PCT 5d</stp>
        <stp>[Macro RPRR.xlsx]eco data!R27C14</stp>
        <tr r="N27" s="8"/>
      </tp>
      <tp>
        <v>0.68479999999999996</v>
        <stp/>
        <stp>##V3_BDPV12</stp>
        <stp>CEEREU curncy</stp>
        <stp>CHG PCT 5d</stp>
        <stp>[Macro RPRR.xlsx]eco data!R14C14</stp>
        <tr r="N14" s="8"/>
      </tp>
      <tp>
        <v>0.68479999999999996</v>
        <stp/>
        <stp>##V3_BDPV12</stp>
        <stp>CEEREU curncy</stp>
        <stp>CHG PCT 5d</stp>
        <stp>[Macro RPRR.xlsx]eco data!R14C23</stp>
        <tr r="W14" s="8"/>
      </tp>
      <tp t="s">
        <v>Computers</v>
        <stp/>
        <stp>##V3_BDPV12</stp>
        <stp>AVST LN Equity</stp>
        <stp>industry group</stp>
        <stp>[Macro RPRR.xlsx]monitor!R79C34</stp>
        <tr r="AH79" s="10"/>
      </tp>
      <tp t="s">
        <v>Banks</v>
        <stp/>
        <stp>##V3_BDPV12</stp>
        <stp>000001 CS Equity</stp>
        <stp>industry group</stp>
        <stp>[Macro RPRR.xlsx]monitor!R18C46</stp>
        <tr r="AT18" s="10"/>
      </tp>
      <tp>
        <v>34.471519999999998</v>
        <stp/>
        <stp>##V3_BDPV12</stp>
        <stp>AZN LN Equity</stp>
        <stp>chg PCt 1yr</stp>
        <stp>[Macro RPRR.xlsx]monitor!R92C32</stp>
        <tr r="AF92" s="10"/>
      </tp>
      <tp>
        <v>-28.9924</v>
        <stp/>
        <stp>##V3_BDPV12</stp>
        <stp>PSN LN Equity</stp>
        <stp>chg PCt 1yr</stp>
        <stp>[Macro RPRR.xlsx]monitor!R27C32</stp>
        <tr r="AF27" s="10"/>
      </tp>
      <tp t="s">
        <v>Real Estate</v>
        <stp/>
        <stp>##V3_BDPV12</stp>
        <stp>000002 CS Equity</stp>
        <stp>industry group</stp>
        <stp>[Macro RPRR.xlsx]monitor!R37C46</stp>
        <tr r="AT37" s="10"/>
      </tp>
      <tp t="s">
        <v>Beverages</v>
        <stp/>
        <stp>##V3_BDPV12</stp>
        <stp>002304 CS Equity</stp>
        <stp>industry group</stp>
        <stp>[Macro RPRR.xlsx]monitor!R14C46</stp>
        <tr r="AT14" s="10"/>
      </tp>
      <tp t="s">
        <v>Oil&amp;Gas</v>
        <stp/>
        <stp>##V3_BDPV12</stp>
        <stp>RDSA LN Equity</stp>
        <stp>industry group</stp>
        <stp>[Macro RPRR.xlsx]monitor!R64C34</stp>
        <tr r="AH64" s="10"/>
      </tp>
      <tp t="s">
        <v>Commercial Services</v>
        <stp/>
        <stp>##V3_BDPV12</stp>
        <stp>002607 CS Equity</stp>
        <stp>industry group</stp>
        <stp>[Macro RPRR.xlsx]monitor!R26C46</stp>
        <tr r="AT26" s="10"/>
      </tp>
      <tp t="s">
        <v>Oil&amp;Gas</v>
        <stp/>
        <stp>##V3_BDPV12</stp>
        <stp>RDSB LN Equity</stp>
        <stp>industry group</stp>
        <stp>[Macro RPRR.xlsx]monitor!R87C34</stp>
        <tr r="AH87" s="10"/>
      </tp>
      <tp>
        <v>0.21299999999999999</v>
        <stp/>
        <stp>##V3_BDPV12</stp>
        <stp>gspg10 index</stp>
        <stp>chg net 5yr</stp>
        <stp>[Macro RPRR.xlsx]monitor!R9C7</stp>
        <tr r="G9" s="10"/>
      </tp>
      <tp>
        <v>1.5150000000000001</v>
        <stp/>
        <stp>##V3_BDPV12</stp>
        <stp>gspg10 index</stp>
        <stp>chg net 1yr</stp>
        <stp>[Macro RPRR.xlsx]monitor!R9C6</stp>
        <tr r="F9" s="10"/>
      </tp>
      <tp>
        <v>15.668493851495418</v>
        <stp/>
        <stp>##V3_BDPV12</stp>
        <stp>MXEU000S index</stp>
        <stp>best pe ratio</stp>
        <stp>[Macro RPRR.xlsx]monitor!R74C3</stp>
        <tr r="C74" s="10"/>
      </tp>
      <tp t="s">
        <v>Food</v>
        <stp/>
        <stp>##V3_BDPV12</stp>
        <stp>SBRY LN Equity</stp>
        <stp>industry group</stp>
        <stp>[Macro RPRR.xlsx]monitor!R77C34</stp>
        <tr r="AH77" s="10"/>
      </tp>
      <tp t="s">
        <v>Consumer Staples</v>
        <stp/>
        <stp>##V3_BDPV12</stp>
        <stp>OCDO LN Equity</stp>
        <stp>gics sector name</stp>
        <stp>[Macro RPRR.xlsx]monitor!R23C33</stp>
        <tr r="AG23" s="10"/>
      </tp>
      <tp>
        <v>-32.543390000000002</v>
        <stp/>
        <stp>##V3_BDPV12</stp>
        <stp>600346 CG Equity</stp>
        <stp>chg PCt 1yr</stp>
        <stp>[Macro RPRR.xlsx]monitor!R3C44</stp>
        <tr r="AR3" s="10"/>
      </tp>
      <tp t="s">
        <v>REITS</v>
        <stp/>
        <stp>##V3_BDPV12</stp>
        <stp>SGRO LN Equity</stp>
        <stp>industry group</stp>
        <stp>[Macro RPRR.xlsx]monitor!R68C34</stp>
        <tr r="AH68" s="10"/>
      </tp>
      <tp t="s">
        <v>Commercial Services</v>
        <stp/>
        <stp>##V3_BDPV12</stp>
        <stp>ITRK LN Equity</stp>
        <stp>industry group</stp>
        <stp>[Macro RPRR.xlsx]monitor!R78C34</stp>
        <tr r="AH78" s="10"/>
      </tp>
      <tp>
        <v>-24.059889999999999</v>
        <stp/>
        <stp>##V3_BDPV12</stp>
        <stp>MRO LN Equity</stp>
        <stp>chg PCt 1yr</stp>
        <stp>[Macro RPRR.xlsx]monitor!R15C32</stp>
        <tr r="AF15" s="10"/>
      </tp>
      <tp>
        <v>-2.3575110000000001</v>
        <stp/>
        <stp>##V3_BDPV12</stp>
        <stp>RIO LN Equity</stp>
        <stp>chg PCt 1yr</stp>
        <stp>[Macro RPRR.xlsx]monitor!R38C32</stp>
        <tr r="AF38" s="10"/>
      </tp>
      <tp>
        <v>6.2253730000000003</v>
        <stp/>
        <stp>##V3_BDPV12</stp>
        <stp>RTO LN Equity</stp>
        <stp>chg PCt 1yr</stp>
        <stp>[Macro RPRR.xlsx]monitor!R67C32</stp>
        <tr r="AF67" s="10"/>
      </tp>
      <tp t="s">
        <v>Distribution/Wholesale</v>
        <stp/>
        <stp>##V3_BDPV12</stp>
        <stp>FERG LN Equity</stp>
        <stp>industry group</stp>
        <stp>[Macro RPRR.xlsx]monitor!R19C34</stp>
        <tr r="AH19" s="10"/>
      </tp>
      <tp>
        <v>-6.5</v>
        <stp/>
        <stp>##V3_BDPV12</stp>
        <stp>EUbdFR index</stp>
        <stp>px last</stp>
        <stp>[Macro RPRR.xlsx]eco data!R46C13</stp>
        <tr r="M46" s="8"/>
      </tp>
      <tp>
        <v>-6.9</v>
        <stp/>
        <stp>##V3_BDPV12</stp>
        <stp>EUbdsp index</stp>
        <stp>px last</stp>
        <stp>[Macro RPRR.xlsx]eco data!R20C13</stp>
        <tr r="M20" s="8"/>
      </tp>
      <tp>
        <v>73.649709999999999</v>
        <stp/>
        <stp>##V3_BDPV12</stp>
        <stp>GLEN LN Equity</stp>
        <stp>chg PCt 1yr</stp>
        <stp>[Macro RPRR.xlsx]monitor!R7C32</stp>
        <tr r="AF7" s="10"/>
      </tp>
      <tp>
        <v>-7.2</v>
        <stp/>
        <stp>##V3_BDPV12</stp>
        <stp>EUbdit index</stp>
        <stp>px last</stp>
        <stp>[Macro RPRR.xlsx]eco data!R33C13</stp>
        <tr r="M33" s="8"/>
      </tp>
      <tp t="s">
        <v>Agriculture</v>
        <stp/>
        <stp>##V3_BDPV12</stp>
        <stp>002714 CS Equity</stp>
        <stp>industry group</stp>
        <stp>[Macro RPRR.xlsx]monitor!R22C46</stp>
        <tr r="AT22" s="10"/>
      </tp>
      <tp t="s">
        <v>Banks</v>
        <stp/>
        <stp>##V3_BDPV12</stp>
        <stp>BARC LN Equity</stp>
        <stp>industry group</stp>
        <stp>[Macro RPRR.xlsx]monitor!R13C34</stp>
        <tr r="AH13" s="10"/>
      </tp>
      <tp t="s">
        <v>Last Price</v>
        <stp/>
        <stp>##V3_BFIELDINFOV12</stp>
        <stp>[Macro RPRR.xlsx]CBs!R5C3</stp>
        <stp>PX_LAST</stp>
        <tr r="C5" s="13"/>
      </tp>
      <tp t="s">
        <v>Last Price</v>
        <stp/>
        <stp>##V3_BFIELDINFOV12</stp>
        <stp>[Macro RPRR.xlsx]CBs!R5C2</stp>
        <stp>PX_LAST</stp>
        <tr r="B5" s="13"/>
      </tp>
      <tp t="s">
        <v>Last Price</v>
        <stp/>
        <stp>##V3_BFIELDINFOV12</stp>
        <stp>[Macro RPRR.xlsx]CBs!R5C5</stp>
        <stp>PX_LAST</stp>
        <tr r="E5" s="13"/>
      </tp>
      <tp t="s">
        <v>Last Price</v>
        <stp/>
        <stp>##V3_BFIELDINFOV12</stp>
        <stp>[Macro RPRR.xlsx]CBs!R5C4</stp>
        <stp>PX_LAST</stp>
        <tr r="D5" s="13"/>
      </tp>
      <tp t="s">
        <v>Last Price</v>
        <stp/>
        <stp>##V3_BFIELDINFOV12</stp>
        <stp>[Macro RPRR.xlsx]CBs!R5C6</stp>
        <stp>PX_LAST</stp>
        <tr r="F5" s="13"/>
      </tp>
      <tp t="s">
        <v>VANECK RUSSIA ETF</v>
        <stp/>
        <stp>##V3_BDPV12</stp>
        <stp>RSX EQUITY</stp>
        <stp>Name</stp>
        <stp>[Macro RPRR.xlsx]flows!R37C3</stp>
        <tr r="C37" s="12"/>
      </tp>
      <tp t="s">
        <v>VANGUARD FTSE EMERGING MARKE</v>
        <stp/>
        <stp>##V3_BDPV12</stp>
        <stp>VWO EQUITY</stp>
        <stp>Name</stp>
        <stp>[Macro RPRR.xlsx]flows!R33C3</stp>
        <tr r="C33" s="12"/>
      </tp>
      <tp t="s">
        <v>UNITED STATES OIL FUND LP</v>
        <stp/>
        <stp>##V3_BDPV12</stp>
        <stp>USO EQUITY</stp>
        <stp>Name</stp>
        <stp>[Macro RPRR.xlsx]flows!R17C3</stp>
        <tr r="C17" s="12"/>
      </tp>
      <tp>
        <v>3.13</v>
        <stp/>
        <stp>##V3_BDPV12</stp>
        <stp>GACGB10 index</stp>
        <stp>LAST TRADE</stp>
        <stp>[Macro RPRR.xlsx]carry+rd!R9C14</stp>
        <tr r="N9" s="1"/>
      </tp>
      <tp t="s">
        <v>Information Technology</v>
        <stp/>
        <stp>##V3_BDPV12</stp>
        <stp>HLMA LN Equity</stp>
        <stp>gics sector name</stp>
        <stp>[Macro RPRR.xlsx]monitor!R69C33</stp>
        <tr r="AG69" s="10"/>
      </tp>
      <tp>
        <v>-33.273470000000003</v>
        <stp/>
        <stp>##V3_BDPV12</stp>
        <stp>BDEV LN Equity</stp>
        <stp>chg PCt 1yr</stp>
        <stp>[Macro RPRR.xlsx]monitor!R59C32</stp>
        <tr r="AF59" s="10"/>
      </tp>
      <tp t="s">
        <v>Internet</v>
        <stp/>
        <stp>##V3_BDPV12</stp>
        <stp>300059 CS Equity</stp>
        <stp>industry group</stp>
        <stp>[Macro RPRR.xlsx]monitor!R13C46</stp>
        <tr r="AT13" s="10"/>
      </tp>
      <tp>
        <v>-5.0642149999999999</v>
        <stp/>
        <stp>##V3_BDPV12</stp>
        <stp>CRH LN Equity</stp>
        <stp>chg PCt 1yr</stp>
        <stp>[Macro RPRR.xlsx]monitor!R33C32</stp>
        <tr r="AF33" s="10"/>
      </tp>
      <tp>
        <v>-35.047629999999998</v>
        <stp/>
        <stp>##V3_BDPV12</stp>
        <stp>CCH LN Equity</stp>
        <stp>chg PCt 1yr</stp>
        <stp>[Macro RPRR.xlsx]monitor!R45C32</stp>
        <tr r="AF45" s="10"/>
      </tp>
      <tp>
        <v>6.4575649999999998</v>
        <stp/>
        <stp>##V3_BDPV12</stp>
        <stp>PSH LN Equity</stp>
        <stp>chg PCt 1yr</stp>
        <stp>[Macro RPRR.xlsx]monitor!R30C32</stp>
        <tr r="AF30" s="10"/>
      </tp>
      <tp>
        <v>0.57080109999999995</v>
        <stp/>
        <stp>##V3_BDPV12</stp>
        <stp>SX5E INDEX</stp>
        <stp>CHG PCT 5d</stp>
        <stp>[Macro RPRR.xlsx]eco data!R28C5</stp>
        <tr r="E28" s="8"/>
      </tp>
      <tp>
        <v>-1.943651</v>
        <stp/>
        <stp>##V3_BDPV12</stp>
        <stp>SX5E INDEX</stp>
        <stp>CHG PCT 1M</stp>
        <stp>[Macro RPRR.xlsx]eco data!R28C6</stp>
        <tr r="F28" s="8"/>
      </tp>
      <tp>
        <v>0.20229</v>
        <stp/>
        <stp>##V3_BDPV12</stp>
        <stp>us0003m index</stp>
        <stp>CHG neT 1m</stp>
        <stp>[Macro RPRR.xlsx]eco data!R11C6</stp>
        <tr r="F11" s="8"/>
        <tr r="F11" s="8"/>
      </tp>
      <tp>
        <v>9.1999999999999998E-2</v>
        <stp/>
        <stp>##V3_BDPV12</stp>
        <stp>us0003m index</stp>
        <stp>CHG neT 5d</stp>
        <stp>[Macro RPRR.xlsx]eco data!R11C5</stp>
        <tr r="E11" s="8"/>
        <tr r="E11" s="8"/>
      </tp>
      <tp>
        <v>22.869502958810546</v>
        <stp/>
        <stp>##V3_BDPV12</stp>
        <stp>MXEU000G index</stp>
        <stp>best pe ratio</stp>
        <stp>[Macro RPRR.xlsx]monitor!R72C3</stp>
        <tr r="C72" s="10"/>
      </tp>
      <tp>
        <v>1.5</v>
        <stp/>
        <stp>##V3_BDPV12</stp>
        <stp>cncpiyoy INDEX</stp>
        <stp>PX LAST</stp>
        <stp>[Macro RPRR.xlsx]eco data!R18C22</stp>
        <tr r="V18" s="8"/>
      </tp>
      <tp t="s">
        <v>Agriculture</v>
        <stp/>
        <stp>##V3_BDPV12</stp>
        <stp>BATS LN Equity</stp>
        <stp>industry group</stp>
        <stp>[Macro RPRR.xlsx]monitor!R89C34</stp>
        <tr r="AH89" s="10"/>
      </tp>
      <tp t="s">
        <v>Industrials</v>
        <stp/>
        <stp>##V3_BDPV12</stp>
        <stp>ITRK LN Equity</stp>
        <stp>gics sector name</stp>
        <stp>[Macro RPRR.xlsx]monitor!R78C33</stp>
        <tr r="AG78" s="10"/>
      </tp>
      <tp t="s">
        <v>Internet</v>
        <stp/>
        <stp>##V3_BDPV12</stp>
        <stp>AUTO LN Equity</stp>
        <stp>industry group</stp>
        <stp>[Macro RPRR.xlsx]monitor!R36C34</stp>
        <tr r="AH36" s="10"/>
      </tp>
      <tp>
        <v>52.1</v>
        <stp/>
        <stp>##V3_BDPV12</stp>
        <stp>EUdb60nl index</stp>
        <stp>px last</stp>
        <stp>[Macro RPRR.xlsx]EU countries!R11C17</stp>
        <tr r="Q11" s="11"/>
      </tp>
      <tp>
        <v>56</v>
        <stp/>
        <stp>##V3_BDPV12</stp>
        <stp>EUdb60ie index</stp>
        <stp>px last</stp>
        <stp>[Macro RPRR.xlsx]EU countries!R14C17</stp>
        <tr r="Q14" s="11"/>
      </tp>
      <tp>
        <v>193.3</v>
        <stp/>
        <stp>##V3_BDPV12</stp>
        <stp>EUdb60gr index</stp>
        <stp>px last</stp>
        <stp>[Macro RPRR.xlsx]EU countries!R12C17</stp>
        <tr r="Q12" s="11"/>
      </tp>
      <tp>
        <v>118.4</v>
        <stp/>
        <stp>##V3_BDPV12</stp>
        <stp>EUdb60es index</stp>
        <stp>px last</stp>
        <stp>[Macro RPRR.xlsx]EU countries!R10C17</stp>
        <tr r="Q10" s="11"/>
      </tp>
      <tp>
        <v>127.4</v>
        <stp/>
        <stp>##V3_BDPV12</stp>
        <stp>EUdb60pt index</stp>
        <stp>px last</stp>
        <stp>[Macro RPRR.xlsx]EU countries!R13C17</stp>
        <tr r="Q13" s="11"/>
      </tp>
      <tp>
        <v>19.315060027908245</v>
        <stp/>
        <stp>##V3_BDPV12</stp>
        <stp>SPX INDEX</stp>
        <stp>best pe ratio</stp>
        <stp>[Macro RPRR.xlsx]monitor!R48C3</stp>
        <tr r="C48" s="10"/>
      </tp>
      <tp>
        <v>9.9959530000000001</v>
        <stp/>
        <stp>##V3_BDPV12</stp>
        <stp>III LN Equity</stp>
        <stp>chg PCt 1yr</stp>
        <stp>[Macro RPRR.xlsx]monitor!R39C32</stp>
        <tr r="AF39" s="10"/>
      </tp>
      <tp t="s">
        <v>Electronics</v>
        <stp/>
        <stp>##V3_BDPV12</stp>
        <stp>002475 CS Equity</stp>
        <stp>industry group</stp>
        <stp>[Macro RPRR.xlsx]monitor!R31C46</stp>
        <tr r="AT31" s="10"/>
      </tp>
      <tp>
        <v>2.3580000000000001</v>
        <stp/>
        <stp>##V3_BDPV12</stp>
        <stp>GCAN12M index</stp>
        <stp>LAST TRADE</stp>
        <stp>[Macro RPRR.xlsx]carry+rd!R3C17</stp>
        <tr r="Q3" s="1"/>
      </tp>
      <tp>
        <v>1.3129999999999999</v>
        <stp/>
        <stp>##V3_BDPV12</stp>
        <stp>gfrn10 index</stp>
        <stp>chg net 1yr</stp>
        <stp>[Macro RPRR.xlsx]monitor!R7C6</stp>
        <tr r="F7" s="10"/>
      </tp>
      <tp>
        <v>0.45700000000000002</v>
        <stp/>
        <stp>##V3_BDPV12</stp>
        <stp>gfrn10 index</stp>
        <stp>chg net 5yr</stp>
        <stp>[Macro RPRR.xlsx]monitor!R7C7</stp>
        <tr r="G7" s="10"/>
      </tp>
      <tp>
        <v>3.58</v>
        <stp/>
        <stp>##V3_BDPV12</stp>
        <stp>gnzgb10 index</stp>
        <stp>px last</stp>
        <stp>[Macro RPRR.xlsx]monitor!R16C3</stp>
        <tr r="C16" s="10"/>
      </tp>
      <tp>
        <v>1.3452999999999999</v>
        <stp/>
        <stp>##V3_BDPV12</stp>
        <stp>CEEREU curncy</stp>
        <stp>CHG PCT 1M</stp>
        <stp>[Macro RPRR.xlsx]eco data!R40C15</stp>
        <tr r="O40" s="8"/>
      </tp>
      <tp>
        <v>1.3452999999999999</v>
        <stp/>
        <stp>##V3_BDPV12</stp>
        <stp>CEEREU curncy</stp>
        <stp>CHG PCT 1M</stp>
        <stp>[Macro RPRR.xlsx]eco data!R53C15</stp>
        <tr r="O53" s="8"/>
      </tp>
      <tp>
        <v>1.3452999999999999</v>
        <stp/>
        <stp>##V3_BDPV12</stp>
        <stp>CEEREU curncy</stp>
        <stp>CHG PCT 1M</stp>
        <stp>[Macro RPRR.xlsx]eco data!R27C15</stp>
        <tr r="O27" s="8"/>
      </tp>
      <tp>
        <v>1.3452999999999999</v>
        <stp/>
        <stp>##V3_BDPV12</stp>
        <stp>CEEREU curncy</stp>
        <stp>CHG PCT 1M</stp>
        <stp>[Macro RPRR.xlsx]eco data!R14C15</stp>
        <tr r="O14" s="8"/>
      </tp>
      <tp>
        <v>1.3452999999999999</v>
        <stp/>
        <stp>##V3_BDPV12</stp>
        <stp>CEEREU curncy</stp>
        <stp>CHG PCT 1M</stp>
        <stp>[Macro RPRR.xlsx]eco data!R14C24</stp>
        <tr r="X14" s="8"/>
      </tp>
      <tp>
        <v>9.9267992833445007</v>
        <stp/>
        <stp>##V3_BDPV12</stp>
        <stp>MXEU000v index</stp>
        <stp>best pe ratio</stp>
        <stp>[Macro RPRR.xlsx]monitor!R71C3</stp>
        <tr r="C71" s="10"/>
      </tp>
      <tp>
        <v>0.94299999999999995</v>
        <stp/>
        <stp>##V3_BDPV12</stp>
        <stp>gdbr2 index</stp>
        <stp>CHG neT 1yr</stp>
        <stp>[Macro RPRR.xlsx]eco data!R12C25</stp>
        <tr r="Y12" s="8"/>
        <tr r="Y12" s="8"/>
      </tp>
      <tp>
        <v>3.0819999999999999</v>
        <stp/>
        <stp>##V3_BDPV12</stp>
        <stp>GBTPGR30 index</stp>
        <stp>LAST TRADE</stp>
        <stp>[Macro RPRR.xlsx]carry+rd!R10C20</stp>
        <tr r="T10" s="1"/>
      </tp>
      <tp t="s">
        <v>#N/A N/A</v>
        <stp/>
        <stp>##V3_BDPV12</stp>
        <stp>MXRU INDEX</stp>
        <stp>CHG PCT 1M</stp>
        <stp>[Macro RPRR.xlsx]eco data!R41C24</stp>
        <tr r="X41" s="8"/>
      </tp>
      <tp>
        <v>-42.115740000000002</v>
        <stp/>
        <stp>##V3_BDPV12</stp>
        <stp>JMAT LN Equity</stp>
        <stp>chg PCt 1yr</stp>
        <stp>[Macro RPRR.xlsx]monitor!R21C32</stp>
        <tr r="AF21" s="10"/>
      </tp>
      <tp>
        <v>0.66400000000000003</v>
        <stp/>
        <stp>##V3_BDPV12</stp>
        <stp>UKGTB3M index</stp>
        <stp>CHG neT 1yr</stp>
        <stp>[Macro RPRR.xlsx]eco data!R49C7</stp>
        <tr r="G49" s="8"/>
        <tr r="G49" s="8"/>
      </tp>
      <tp>
        <v>15.4717</v>
        <stp/>
        <stp>##V3_BDPV12</stp>
        <stp>AVST LN Equity</stp>
        <stp>chg PCt 1yr</stp>
        <stp>[Macro RPRR.xlsx]monitor!R79C32</stp>
        <tr r="AF79" s="10"/>
      </tp>
      <tp t="s">
        <v>Materials</v>
        <stp/>
        <stp>##V3_BDPV12</stp>
        <stp>JMAT LN Equity</stp>
        <stp>gics sector name</stp>
        <stp>[Macro RPRR.xlsx]monitor!R21C33</stp>
        <tr r="AG21" s="10"/>
      </tp>
      <tp>
        <v>-2.0901000000000001</v>
        <stp/>
        <stp>##V3_BDPV12</stp>
        <stp>cny curncy</stp>
        <stp>chg PCt 1m</stp>
        <stp>[Macro RPRR.xlsx]monitor!R90C15</stp>
        <tr r="O90" s="10"/>
      </tp>
      <tp>
        <v>-5.8970000000000002</v>
        <stp/>
        <stp>##V3_BDPV12</stp>
        <stp>jpy curncy</stp>
        <stp>chg PCt 1m</stp>
        <stp>[Macro RPRR.xlsx]monitor!R82C15</stp>
        <tr r="O82" s="10"/>
      </tp>
      <tp>
        <v>-4.2048329999999998</v>
        <stp/>
        <stp>##V3_BDPV12</stp>
        <stp>601012 CG Equity</stp>
        <stp>chg PCt 1yr</stp>
        <stp>[Macro RPRR.xlsx]monitor!R5C44</stp>
        <tr r="AR5" s="10"/>
      </tp>
      <tp>
        <v>-1.8025</v>
        <stp/>
        <stp>##V3_BDPV12</stp>
        <stp>cny curncy</stp>
        <stp>chg PCt 6m</stp>
        <stp>[Macro RPRR.xlsx]monitor!R90C16</stp>
        <tr r="P90" s="10"/>
      </tp>
      <tp>
        <v>-11.5837</v>
        <stp/>
        <stp>##V3_BDPV12</stp>
        <stp>jpy curncy</stp>
        <stp>chg PCt 6m</stp>
        <stp>[Macro RPRR.xlsx]monitor!R82C16</stp>
        <tr r="P82" s="10"/>
      </tp>
      <tp>
        <v>2.5964109999999998</v>
        <stp/>
        <stp>##V3_BDPV12</stp>
        <stp>STJ LN Equity</stp>
        <stp>chg PCt 1yr</stp>
        <stp>[Macro RPRR.xlsx]monitor!R22C32</stp>
        <tr r="AF22" s="10"/>
      </tp>
      <tp>
        <v>0.18390000000000001</v>
        <stp/>
        <stp>##V3_BDPV12</stp>
        <stp>bp0003m index</stp>
        <stp>CHG neT 1m</stp>
        <stp>[Macro RPRR.xlsx]eco data!R50C6</stp>
        <tr r="F50" s="8"/>
        <tr r="F50" s="8"/>
      </tp>
      <tp>
        <v>4.2999999999999997E-2</v>
        <stp/>
        <stp>##V3_BDPV12</stp>
        <stp>bp0003m index</stp>
        <stp>CHG neT 5d</stp>
        <stp>[Macro RPRR.xlsx]eco data!R50C5</stp>
        <tr r="E50" s="8"/>
        <tr r="E50" s="8"/>
      </tp>
      <tp t="s">
        <v>#N/A N/A</v>
        <stp/>
        <stp>##V3_BDPV12</stp>
        <stp>EUbdger index</stp>
        <stp>CHG neT 5d</stp>
        <stp>[Macro RPRR.xlsx]eco data!R6C23</stp>
        <tr r="W6" s="8"/>
      </tp>
      <tp t="s">
        <v>#N/A N/A</v>
        <stp/>
        <stp>##V3_BDPV12</stp>
        <stp>EUbdger index</stp>
        <stp>CHG neT 1m</stp>
        <stp>[Macro RPRR.xlsx]eco data!R6C24</stp>
        <tr r="X6" s="8"/>
      </tp>
      <tp>
        <v>-5.6000000000000001E-2</v>
        <stp/>
        <stp>##V3_BDPV12</stp>
        <stp>getb1 index</stp>
        <stp>CHG neT 1yr</stp>
        <stp>[Macro RPRR.xlsx]eco data!R10C25</stp>
        <tr r="Y10" s="8"/>
        <tr r="Y10" s="8"/>
      </tp>
      <tp>
        <v>0.104</v>
        <stp/>
        <stp>##V3_BDPV12</stp>
        <stp>gdbr10 index</stp>
        <stp>CHG neT 5d</stp>
        <stp>[Macro RPRR.xlsx]eco data!R26C5</stp>
        <tr r="E26" s="8"/>
      </tp>
      <tp>
        <v>0.441</v>
        <stp/>
        <stp>##V3_BDPV12</stp>
        <stp>gdbr10 index</stp>
        <stp>CHG neT 1m</stp>
        <stp>[Macro RPRR.xlsx]eco data!R26C6</stp>
        <tr r="F26" s="8"/>
      </tp>
      <tp t="s">
        <v>Cosmetics/Personal Care</v>
        <stp/>
        <stp>##V3_BDPV12</stp>
        <stp>ULVR LN Equity</stp>
        <stp>industry group</stp>
        <stp>[Macro RPRR.xlsx]monitor!R94C34</stp>
        <tr r="AH94" s="10"/>
      </tp>
      <tp>
        <v>1.5</v>
        <stp/>
        <stp>##V3_BDPV12</stp>
        <stp>ECCPEMUy index</stp>
        <stp>CHG neT 1m</stp>
        <stp>[Macro RPRR.xlsx]eco data!R18C6</stp>
        <tr r="F18" s="8"/>
        <tr r="F18" s="8"/>
      </tp>
      <tp t="s">
        <v>Beverages</v>
        <stp/>
        <stp>##V3_BDPV12</stp>
        <stp>000858 CS Equity</stp>
        <stp>industry group</stp>
        <stp>[Macro RPRR.xlsx]monitor!R30C46</stp>
        <tr r="AT30" s="10"/>
      </tp>
      <tp>
        <v>0.36399999999999999</v>
        <stp/>
        <stp>##V3_BDPV12</stp>
        <stp>gmxn10yr index</stp>
        <stp>chg net 1m</stp>
        <stp>[Macro RPRR.xlsx]monitor!R21C4</stp>
        <tr r="D21" s="10"/>
      </tp>
      <tp>
        <v>1.2370000000000001</v>
        <stp/>
        <stp>##V3_BDPV12</stp>
        <stp>gmxn10yr index</stp>
        <stp>chg net 6m</stp>
        <stp>[Macro RPRR.xlsx]monitor!R21C5</stp>
        <tr r="E21" s="10"/>
      </tp>
      <tp t="s">
        <v>#N/A N/A</v>
        <stp/>
        <stp>##V3_BDPV12</stp>
        <stp>ECCPEMUy index</stp>
        <stp>CHG neT 5d</stp>
        <stp>[Macro RPRR.xlsx]eco data!R18C5</stp>
        <tr r="E18" s="8"/>
      </tp>
      <tp t="s">
        <v>Home Furnishings</v>
        <stp/>
        <stp>##V3_BDPV12</stp>
        <stp>000651 CS Equity</stp>
        <stp>industry group</stp>
        <stp>[Macro RPRR.xlsx]monitor!R38C46</stp>
        <tr r="AT38" s="10"/>
      </tp>
      <tp t="s">
        <v>Healthcare-Products</v>
        <stp/>
        <stp>##V3_BDPV12</stp>
        <stp>300760 CS Equity</stp>
        <stp>industry group</stp>
        <stp>[Macro RPRR.xlsx]monitor!R20C46</stp>
        <tr r="AT20" s="10"/>
      </tp>
      <tp>
        <v>-16.659829999999999</v>
        <stp/>
        <stp>##V3_BDPV12</stp>
        <stp>HIK LN Equity</stp>
        <stp>chg PCt 1yr</stp>
        <stp>[Macro RPRR.xlsx]monitor!R85C32</stp>
        <tr r="AF85" s="10"/>
      </tp>
      <tp t="s">
        <v>Transportation</v>
        <stp/>
        <stp>##V3_BDPV12</stp>
        <stp>002352 CS Equity</stp>
        <stp>industry group</stp>
        <stp>[Macro RPRR.xlsx]monitor!R16C46</stp>
        <tr r="AT16" s="10"/>
      </tp>
      <tp>
        <v>-5.7958749999999997</v>
        <stp/>
        <stp>##V3_BDPV12</stp>
        <stp>600809 CG Equity</stp>
        <stp>chg PCt 1yr</stp>
        <stp>[Macro RPRR.xlsx]monitor!R4C44</stp>
        <tr r="AR4" s="10"/>
      </tp>
      <tp>
        <v>-27.18066</v>
        <stp/>
        <stp>##V3_BDPV12</stp>
        <stp>600309 CG Equity</stp>
        <stp>chg PCt 1yr</stp>
        <stp>[Macro RPRR.xlsx]monitor!R7C44</stp>
        <tr r="AR7" s="10"/>
      </tp>
      <tp>
        <v>0</v>
        <stp/>
        <stp>##V3_BDPV12</stp>
        <stp>SE15 LN EQUITY</stp>
        <stp>MF_tot_1D</stp>
        <stp>[Macro RPRR.xlsx]flows!R28C9</stp>
        <tr r="I28" s="12"/>
      </tp>
      <tp>
        <v>-2.15E-3</v>
        <stp/>
        <stp>##V3_BDPV12</stp>
        <stp>eu0003m index</stp>
        <stp>CHG neT 1m</stp>
        <stp>[Macro RPRR.xlsx]eco data!R24C6</stp>
        <tr r="F24" s="8"/>
        <tr r="F24" s="8"/>
      </tp>
      <tp>
        <v>0</v>
        <stp/>
        <stp>##V3_BDPV12</stp>
        <stp>eu0003m index</stp>
        <stp>CHG neT 5d</stp>
        <stp>[Macro RPRR.xlsx]eco data!R24C5</stp>
        <tr r="E24" s="8"/>
        <tr r="E24" s="8"/>
      </tp>
      <tp>
        <v>-1.6465000000000001</v>
        <stp/>
        <stp>##V3_BDPV12</stp>
        <stp>krw curncy</stp>
        <stp>chg PCt 1m</stp>
        <stp>[Macro RPRR.xlsx]monitor!R85C15</stp>
        <tr r="O85" s="10"/>
      </tp>
      <tp>
        <v>-5</v>
        <stp/>
        <stp>##V3_BDPV12</stp>
        <stp>krw curncy</stp>
        <stp>chg PCt 6m</stp>
        <stp>[Macro RPRR.xlsx]monitor!R85C16</stp>
        <tr r="P85" s="10"/>
      </tp>
      <tp>
        <v>-4.1312499999999996</v>
        <stp/>
        <stp>##V3_BDPV12</stp>
        <stp>VOD LN Equity</stp>
        <stp>chg PCt 1yr</stp>
        <stp>[Macro RPRR.xlsx]monitor!R80C32</stp>
        <tr r="AF80" s="10"/>
      </tp>
      <tp>
        <v>1574.2139999999999</v>
        <stp/>
        <stp>##V3_BDPV12</stp>
        <stp>IBGX LN EQUITY</stp>
        <stp>Fund Total Assets</stp>
        <stp>[Macro RPRR.xlsx]flows!R29C8</stp>
        <tr r="H29" s="12"/>
      </tp>
      <tp>
        <v>-9.3299999999999998E-3</v>
        <stp/>
        <stp>##V3_BDPV12</stp>
        <stp>jy0003m index</stp>
        <stp>CHG neT 1m</stp>
        <stp>[Macro RPRR.xlsx]eco data!R37C6</stp>
        <tr r="F37" s="8"/>
        <tr r="F37" s="8"/>
      </tp>
      <tp>
        <v>-7.2700000000000004E-3</v>
        <stp/>
        <stp>##V3_BDPV12</stp>
        <stp>jy0003m index</stp>
        <stp>CHG neT 5d</stp>
        <stp>[Macro RPRR.xlsx]eco data!R37C5</stp>
        <tr r="E37" s="8"/>
        <tr r="E37" s="8"/>
      </tp>
      <tp t="s">
        <v>ISHARES SMI ETF CH</v>
        <stp/>
        <stp>##V3_BDPV12</stp>
        <stp>CSSMI SW EQUITY</stp>
        <stp>Name</stp>
        <stp>[Macro RPRR.xlsx]flows!R24C3</stp>
        <tr r="C24" s="12"/>
      </tp>
      <tp t="s">
        <v>#N/A N/A</v>
        <stp/>
        <stp>##V3_BDPV12</stp>
        <stp>EUbdFR index</stp>
        <stp>CHG neT 5d</stp>
        <stp>[Macro RPRR.xlsx]eco data!R46C14</stp>
        <tr r="N46" s="8"/>
      </tp>
      <tp>
        <v>12.189</v>
        <stp/>
        <stp>##V3_BDPV12</stp>
        <stp>gebr10y index</stp>
        <stp>px last</stp>
        <stp>[Macro RPRR.xlsx]monitor!R20C3</stp>
        <tr r="C20" s="10"/>
      </tp>
      <tp>
        <v>-4.2879750000000003</v>
        <stp/>
        <stp>##V3_BDPV12</stp>
        <stp>BME LN Equity</stp>
        <stp>chg PCt 1yr</stp>
        <stp>[Macro RPRR.xlsx]monitor!R11C32</stp>
        <tr r="AF11" s="10"/>
      </tp>
      <tp>
        <v>17.669229999999999</v>
        <stp/>
        <stp>##V3_BDPV12</stp>
        <stp>DGE LN Equity</stp>
        <stp>chg PCt 1yr</stp>
        <stp>[Macro RPRR.xlsx]monitor!R60C32</stp>
        <tr r="AF60" s="10"/>
      </tp>
      <tp>
        <v>21.90192</v>
        <stp/>
        <stp>##V3_BDPV12</stp>
        <stp>SSE LN Equity</stp>
        <stp>chg PCt 1yr</stp>
        <stp>[Macro RPRR.xlsx]monitor!R82C32</stp>
        <tr r="AF82" s="10"/>
      </tp>
      <tp>
        <v>12.097770000000001</v>
        <stp/>
        <stp>##V3_BDPV12</stp>
        <stp>SGE LN Equity</stp>
        <stp>chg PCt 1yr</stp>
        <stp>[Macro RPRR.xlsx]monitor!R62C32</stp>
        <tr r="AF62" s="10"/>
      </tp>
      <tp t="s">
        <v>Industrials</v>
        <stp/>
        <stp>##V3_BDPV12</stp>
        <stp>EXPN LN Equity</stp>
        <stp>gics sector name</stp>
        <stp>[Macro RPRR.xlsx]monitor!R88C33</stp>
        <tr r="AG88" s="10"/>
      </tp>
      <tp>
        <v>2208.2080000000001</v>
        <stp/>
        <stp>##V3_BDPV12</stp>
        <stp>CSSMI SW EQUITY</stp>
        <stp>Fund Total Assets</stp>
        <stp>[Macro RPRR.xlsx]flows!R24C8</stp>
        <tr r="H24" s="12"/>
      </tp>
      <tp t="s">
        <v>Pharmaceuticals</v>
        <stp/>
        <stp>##V3_BDPV12</stp>
        <stp>GSK LN Equity</stp>
        <stp>industry group</stp>
        <stp>[Macro RPRR.xlsx]monitor!R102C34</stp>
        <tr r="AH102" s="10"/>
      </tp>
      <tp>
        <v>0</v>
        <stp/>
        <stp>##V3_BDPV12</stp>
        <stp>SE15 LN EQUITY</stp>
        <stp>MF_tot_1W</stp>
        <stp>[Macro RPRR.xlsx]flows!R28C10</stp>
        <tr r="J28" s="12"/>
      </tp>
      <tp t="s">
        <v>#N/A N/A</v>
        <stp/>
        <stp>##V3_BDPV12</stp>
        <stp>ehcacn index</stp>
        <stp>CHG neT 5d</stp>
        <stp>[Macro RPRR.xlsx]eco data!R21C23</stp>
        <tr r="W21" s="8"/>
      </tp>
      <tp>
        <v>3.13</v>
        <stp/>
        <stp>##V3_BDPV12</stp>
        <stp>gacgb10 index</stp>
        <stp>px last</stp>
        <stp>[Macro RPRR.xlsx]monitor!R15C3</stp>
        <tr r="C15" s="10"/>
      </tp>
      <tp>
        <v>396672.59375</v>
        <stp/>
        <stp>##V3_BDPV12</stp>
        <stp>SPY EQUITY</stp>
        <stp>Fund Total Assets</stp>
        <stp>[Macro RPRR.xlsx]flows!R2C8</stp>
        <tr r="H2" s="12"/>
      </tp>
      <tp t="s">
        <v>#N/A N/A</v>
        <stp/>
        <stp>##V3_BDPV12</stp>
        <stp>ehupcn index</stp>
        <stp>CHG neT 5d</stp>
        <stp>[Macro RPRR.xlsx]eco data!R22C23</stp>
        <tr r="W22" s="8"/>
      </tp>
      <tp>
        <v>7.5</v>
        <stp/>
        <stp>##V3_BDPV12</stp>
        <stp>UKrpyoy index</stp>
        <stp>CHG neT 1yr</stp>
        <stp>[Macro RPRR.xlsx]eco data!R44C7</stp>
        <tr r="G44" s="8"/>
        <tr r="G44" s="8"/>
      </tp>
      <tp>
        <v>7.38</v>
        <stp/>
        <stp>##V3_BDPV12</stp>
        <stp>ehcade INDEX</stp>
        <stp>PX LAST</stp>
        <stp>[Macro RPRR.xlsx]eco data!R7C22</stp>
        <tr r="V7" s="8"/>
      </tp>
      <tp>
        <v>0.17799999999999999</v>
        <stp/>
        <stp>##V3_BDPV12</stp>
        <stp>Gjgb10 index</stp>
        <stp>CHG neT 1yr</stp>
        <stp>[Macro RPRR.xlsx]eco data!R39C7</stp>
        <tr r="G39" s="8"/>
        <tr r="G39" s="8"/>
      </tp>
      <tp t="s">
        <v>Industrials</v>
        <stp/>
        <stp>##V3_BDPV12</stp>
        <stp>FERG LN Equity</stp>
        <stp>gics sector name</stp>
        <stp>[Macro RPRR.xlsx]monitor!R19C33</stp>
        <tr r="AG19" s="10"/>
      </tp>
      <tp>
        <v>-2.15E-3</v>
        <stp/>
        <stp>##V3_BDPV12</stp>
        <stp>eu0003m index</stp>
        <stp>CHG neT 1m</stp>
        <stp>[Macro RPRR.xlsx]eco data!R50C15</stp>
        <tr r="O50" s="8"/>
        <tr r="O50" s="8"/>
      </tp>
      <tp>
        <v>-1.4300000000000001E-3</v>
        <stp/>
        <stp>##V3_BDPV12</stp>
        <stp>il0003m index</stp>
        <stp>CHG neT 1m</stp>
        <stp>[Macro RPRR.xlsx]eco data!R37C15</stp>
        <tr r="O37" s="8"/>
        <tr r="O37" s="8"/>
      </tp>
      <tp>
        <v>-1.4300000000000001E-3</v>
        <stp/>
        <stp>##V3_BDPV12</stp>
        <stp>sp0003m index</stp>
        <stp>CHG neT 1m</stp>
        <stp>[Macro RPRR.xlsx]eco data!R24C15</stp>
        <tr r="O24" s="8"/>
        <tr r="O24" s="8"/>
      </tp>
      <tp>
        <v>-2.15E-3</v>
        <stp/>
        <stp>##V3_BDPV12</stp>
        <stp>eu0003m index</stp>
        <stp>CHG neT 1m</stp>
        <stp>[Macro RPRR.xlsx]eco data!R11C24</stp>
        <tr r="X11" s="8"/>
        <tr r="X11" s="8"/>
      </tp>
      <tp t="s">
        <v>Materials</v>
        <stp/>
        <stp>##V3_BDPV12</stp>
        <stp>FRES LN Equity</stp>
        <stp>gics sector name</stp>
        <stp>[Macro RPRR.xlsx]monitor!R71C33</stp>
        <tr r="AG71" s="10"/>
      </tp>
      <tp>
        <v>-13.65273</v>
        <stp/>
        <stp>##V3_BDPV12</stp>
        <stp>PHNX LN Equity</stp>
        <stp>chg PCt 1yr</stp>
        <stp>[Macro RPRR.xlsx]monitor!R74C32</stp>
        <tr r="AF74" s="10"/>
      </tp>
      <tp>
        <v>6.62324</v>
        <stp/>
        <stp>##V3_BDPV12</stp>
        <stp>INF LN Equity</stp>
        <stp>chg PCt 1yr</stp>
        <stp>[Macro RPRR.xlsx]monitor!R54C32</stp>
        <tr r="AF54" s="10"/>
      </tp>
      <tp>
        <v>-28.525839999999999</v>
        <stp/>
        <stp>##V3_BDPV12</stp>
        <stp>ABF LN Equity</stp>
        <stp>chg PCt 1yr</stp>
        <stp>[Macro RPRR.xlsx]monitor!R49C32</stp>
        <tr r="AF49" s="10"/>
      </tp>
      <tp>
        <v>-0.94017859999999998</v>
        <stp/>
        <stp>##V3_BDPV12</stp>
        <stp>CAC INDEX</stp>
        <stp>CHG PCT 1M</stp>
        <stp>[Macro RPRR.xlsx]eco data!R54C15</stp>
        <tr r="O54" s="8"/>
      </tp>
      <tp>
        <v>5808.0529999999999</v>
        <stp/>
        <stp>##V3_BDPV12</stp>
        <stp>DAXEX GY EQUITY</stp>
        <stp>Fund Total Assets</stp>
        <stp>[Macro RPRR.xlsx]flows!R21C8</stp>
        <tr r="H21" s="12"/>
      </tp>
      <tp>
        <v>-3.1E-2</v>
        <stp/>
        <stp>##V3_BDPV12</stp>
        <stp>shif3m index</stp>
        <stp>CHG neT 5d</stp>
        <stp>[Macro RPRR.xlsx]eco data!R24C23</stp>
        <tr r="W24" s="8"/>
        <tr r="W24" s="8"/>
      </tp>
      <tp>
        <v>3.1</v>
        <stp/>
        <stp>##V3_BDPV12</stp>
        <stp>umrtde index</stp>
        <stp>px last</stp>
        <stp>[Macro RPRR.xlsx]EU countries!R7C16</stp>
        <tr r="P7" s="11"/>
      </tp>
      <tp>
        <v>1.198</v>
        <stp/>
        <stp>##V3_BDPV12</stp>
        <stp>gdbr10 index</stp>
        <stp>CHG neT 1yr</stp>
        <stp>[Macro RPRR.xlsx]eco data!R26C7</stp>
        <tr r="G26" s="8"/>
        <tr r="G26" s="8"/>
      </tp>
      <tp>
        <v>2.6828660000000002</v>
        <stp/>
        <stp>##V3_BDPV12</stp>
        <stp>IBEX INDEX</stp>
        <stp>CHG PCT 1M</stp>
        <stp>[Macro RPRR.xlsx]eco data!R28C15</stp>
        <tr r="O28" s="8"/>
      </tp>
      <tp>
        <v>9.1244829999999997</v>
        <stp/>
        <stp>##V3_BDPV12</stp>
        <stp>LLOY LN Equity</stp>
        <stp>chg PCt 1yr</stp>
        <stp>[Macro RPRR.xlsx]monitor!R58C32</stp>
        <tr r="AF58" s="10"/>
      </tp>
      <tp>
        <v>-20.76886</v>
        <stp/>
        <stp>##V3_BDPV12</stp>
        <stp>BRBY LN Equity</stp>
        <stp>chg PCt 1yr</stp>
        <stp>[Macro RPRR.xlsx]monitor!R66C32</stp>
        <tr r="AF66" s="10"/>
      </tp>
      <tp t="s">
        <v>Distribution/Wholesale</v>
        <stp/>
        <stp>##V3_BDPV12</stp>
        <stp>BNZL LN Equity</stp>
        <stp>industry group</stp>
        <stp>[Macro RPRR.xlsx]monitor!R43C34</stp>
        <tr r="AH43" s="10"/>
      </tp>
      <tp>
        <v>-83.175280000000001</v>
        <stp/>
        <stp>##V3_BDPV12</stp>
        <stp>POLY LN Equity</stp>
        <stp>chg PCt 1yr</stp>
        <stp>[Macro RPRR.xlsx]monitor!R93C32</stp>
        <tr r="AF93" s="10"/>
      </tp>
      <tp>
        <v>2.3893460000000002</v>
        <stp/>
        <stp>##V3_BDPV12</stp>
        <stp>IHG LN Equity</stp>
        <stp>chg PCt 1yr</stp>
        <stp>[Macro RPRR.xlsx]monitor!R29C32</stp>
        <tr r="AF29" s="10"/>
      </tp>
      <tp>
        <v>16.120640000000002</v>
        <stp/>
        <stp>##V3_BDPV12</stp>
        <stp>NWG LN Equity</stp>
        <stp>chg PCt 1yr</stp>
        <stp>[Macro RPRR.xlsx]monitor!R24C32</stp>
        <tr r="AF24" s="10"/>
      </tp>
      <tp>
        <v>1.9952490000000001</v>
        <stp/>
        <stp>##V3_BDPV12</stp>
        <stp>MNG LN Equity</stp>
        <stp>chg PCt 1yr</stp>
        <stp>[Macro RPRR.xlsx]monitor!R17C32</stp>
        <tr r="AF17" s="10"/>
      </tp>
      <tp>
        <v>-10.26144</v>
        <stp/>
        <stp>##V3_BDPV12</stp>
        <stp>BKG LN Equity</stp>
        <stp>chg PCt 1yr</stp>
        <stp>[Macro RPRR.xlsx]monitor!R70C32</stp>
        <tr r="AF70" s="10"/>
      </tp>
      <tp>
        <v>9.8417720000000006</v>
        <stp/>
        <stp>##V3_BDPV12</stp>
        <stp>CPG LN Equity</stp>
        <stp>chg PCt 1yr</stp>
        <stp>[Macro RPRR.xlsx]monitor!R72C32</stp>
        <tr r="AF72" s="10"/>
      </tp>
      <tp>
        <v>-4.1334090000000003</v>
        <stp/>
        <stp>##V3_BDPV12</stp>
        <stp>SKG LN Equity</stp>
        <stp>chg PCt 1yr</stp>
        <stp>[Macro RPRR.xlsx]monitor!R35C32</stp>
        <tr r="AF35" s="10"/>
      </tp>
      <tp>
        <v>-2.0908709999999999</v>
        <stp/>
        <stp>##V3_BDPV12</stp>
        <stp>SBRY LN Equity</stp>
        <stp>chg PCt 1yr</stp>
        <stp>[Macro RPRR.xlsx]monitor!R77C32</stp>
        <tr r="AF77" s="10"/>
      </tp>
      <tp t="s">
        <v>Auto Manufacturers</v>
        <stp/>
        <stp>##V3_BDPV12</stp>
        <stp>002594 CS Equity</stp>
        <stp>industry group</stp>
        <stp>[Macro RPRR.xlsx]monitor!R28C46</stp>
        <tr r="AT28" s="10"/>
      </tp>
      <tp>
        <v>1176.3679999999999</v>
        <stp/>
        <stp>##V3_BDPV12</stp>
        <stp>IGLT LN EQUITY</stp>
        <stp>Fund Total Assets</stp>
        <stp>[Macro RPRR.xlsx]flows!R31C8</stp>
        <tr r="H31" s="12"/>
      </tp>
      <tp>
        <v>2.3050000000000002</v>
        <stp/>
        <stp>##V3_BDPV12</stp>
        <stp>Shif3m INDEX</stp>
        <stp>px last</stp>
        <stp>[Macro RPRR.xlsx]monitor!R90C14</stp>
        <tr r="N90" s="10"/>
      </tp>
      <tp>
        <v>282007.90625</v>
        <stp/>
        <stp>##V3_BDPV12</stp>
        <stp>VTI EQUITY</stp>
        <stp>Fund Total Assets</stp>
        <stp>[Macro RPRR.xlsx]flows!R4C8</stp>
        <tr r="H4" s="12"/>
      </tp>
      <tp>
        <v>-0.76139999999999997</v>
        <stp/>
        <stp>##V3_BDPV12</stp>
        <stp>USDEUR curncy</stp>
        <stp>chg PCt 5yr</stp>
        <stp>[Macro RPRR.xlsx]monitor!R72C18</stp>
        <tr r="R72" s="10"/>
      </tp>
      <tp>
        <v>-1E-3</v>
        <stp/>
        <stp>##V3_BDPV12</stp>
        <stp>lisb3m index</stp>
        <stp>CHG neT 5d</stp>
        <stp>[Macro RPRR.xlsx]eco data!R11C14</stp>
        <tr r="N11" s="8"/>
        <tr r="N11" s="8"/>
      </tp>
      <tp t="s">
        <v>#N/A N/A</v>
        <stp/>
        <stp>##V3_BDPV12</stp>
        <stp>EUbdFR index</stp>
        <stp>CHG neT 1m</stp>
        <stp>[Macro RPRR.xlsx]eco data!R46C15</stp>
        <tr r="O46" s="8"/>
      </tp>
      <tp>
        <v>-21.366859999999999</v>
        <stp/>
        <stp>##V3_BDPV12</stp>
        <stp>XIN9I INDEX</stp>
        <stp>CHG PCT 1YR</stp>
        <stp>[Macro RPRR.xlsx]eco data!R28C25</stp>
        <tr r="Y28" s="8"/>
      </tp>
      <tp>
        <v>0.6</v>
        <stp/>
        <stp>##V3_BDPV12</stp>
        <stp>EUGNEMUQ index</stp>
        <stp>CHG neT 1yr</stp>
        <stp>[Macro RPRR.xlsx]eco data!R19C7</stp>
        <tr r="G19" s="8"/>
        <tr r="G19" s="8"/>
      </tp>
      <tp>
        <v>-0.39069999999999999</v>
        <stp/>
        <stp>##V3_BDPV12</stp>
        <stp>inr curncy</stp>
        <stp>chg PCt 1m</stp>
        <stp>[Macro RPRR.xlsx]monitor!R91C15</stp>
        <tr r="O91" s="10"/>
      </tp>
      <tp t="s">
        <v>Communication Services</v>
        <stp/>
        <stp>##V3_BDPV12</stp>
        <stp>AUTO LN Equity</stp>
        <stp>gics sector name</stp>
        <stp>[Macro RPRR.xlsx]monitor!R36C33</stp>
        <tr r="AG36" s="10"/>
      </tp>
      <tp t="s">
        <v>Information Technology</v>
        <stp/>
        <stp>##V3_BDPV12</stp>
        <stp>AVST LN Equity</stp>
        <stp>gics sector name</stp>
        <stp>[Macro RPRR.xlsx]monitor!R79C33</stp>
        <tr r="AG79" s="10"/>
      </tp>
      <tp>
        <v>-2.0771000000000002</v>
        <stp/>
        <stp>##V3_BDPV12</stp>
        <stp>inr curncy</stp>
        <stp>chg PCt 6m</stp>
        <stp>[Macro RPRR.xlsx]monitor!R91C16</stp>
        <tr r="P91" s="10"/>
      </tp>
      <tp>
        <v>4.25</v>
        <stp/>
        <stp>##V3_BDPV12</stp>
        <stp>in003m INDEX</stp>
        <stp>px last</stp>
        <stp>[Macro RPRR.xlsx]monitor!R91C14</stp>
        <tr r="N91" s="10"/>
      </tp>
      <tp t="s">
        <v>#N/A N/A</v>
        <stp/>
        <stp>##V3_BDPV12</stp>
        <stp>RSA LN Equity</stp>
        <stp>chg PCt 1yr</stp>
        <stp>[Macro RPRR.xlsx]monitor!R25C32</stp>
        <tr r="AF25" s="10"/>
      </tp>
      <tp t="s">
        <v>#N/A N/A</v>
        <stp/>
        <stp>##V3_BDPV12</stp>
        <stp>SLA LN Equity</stp>
        <stp>chg PCt 1yr</stp>
        <stp>[Macro RPRR.xlsx]monitor!R55C32</stp>
        <tr r="AF55" s="10"/>
      </tp>
      <tp t="s">
        <v>#N/A N/A</v>
        <stp/>
        <stp>##V3_BDPV12</stp>
        <stp>ehcacn index</stp>
        <stp>CHG neT 1m</stp>
        <stp>[Macro RPRR.xlsx]eco data!R21C24</stp>
        <tr r="X21" s="8"/>
      </tp>
      <tp>
        <v>1.3956</v>
        <stp/>
        <stp>##V3_BDPV12</stp>
        <stp>usgg10yr index</stp>
        <stp>CHG neT 1yr</stp>
        <stp>[Macro RPRR.xlsx]eco data!R13C7</stp>
        <tr r="G13" s="8"/>
      </tp>
      <tp t="s">
        <v>#N/A N/A</v>
        <stp/>
        <stp>##V3_BDPV12</stp>
        <stp>ehupcn index</stp>
        <stp>CHG neT 1m</stp>
        <stp>[Macro RPRR.xlsx]eco data!R22C24</stp>
        <tr r="X22" s="8"/>
      </tp>
      <tp>
        <v>5.257784</v>
        <stp/>
        <stp>##V3_BDPV12</stp>
        <stp>CAC index</stp>
        <stp>chg PCt 1yr</stp>
        <stp>[Macro RPRR.xlsx]monitor!R7C16</stp>
        <tr r="P7" s="10"/>
      </tp>
      <tp>
        <v>30.392150000000001</v>
        <stp/>
        <stp>##V3_BDPV12</stp>
        <stp>CAC index</stp>
        <stp>chg PCt 5yr</stp>
        <stp>[Macro RPRR.xlsx]monitor!R7C17</stp>
        <tr r="Q7" s="10"/>
      </tp>
      <tp>
        <v>3.3149999999999999</v>
        <stp/>
        <stp>##V3_BDPV12</stp>
        <stp>GACGB15 index</stp>
        <stp>LAST TRADE</stp>
        <stp>[Macro RPRR.xlsx]carry+rd!R10C14</stp>
        <tr r="N10" s="1"/>
      </tp>
      <tp>
        <v>0.83550429999999998</v>
        <stp/>
        <stp>##V3_BDPV12</stp>
        <stp>CAC INDEX</stp>
        <stp>CHG PCT 5d</stp>
        <stp>[Macro RPRR.xlsx]eco data!R54C14</stp>
        <tr r="N54" s="8"/>
      </tp>
      <tp>
        <v>-7.2257949999999997</v>
        <stp/>
        <stp>##V3_BDPV12</stp>
        <stp>DAX index</stp>
        <stp>chg PCt 1yr</stp>
        <stp>[Macro RPRR.xlsx]monitor!R6C16</stp>
        <tr r="P6" s="10"/>
      </tp>
      <tp>
        <v>17.96827</v>
        <stp/>
        <stp>##V3_BDPV12</stp>
        <stp>DAX index</stp>
        <stp>chg PCt 5yr</stp>
        <stp>[Macro RPRR.xlsx]monitor!R6C17</stp>
        <tr r="Q6" s="10"/>
      </tp>
      <tp>
        <v>0</v>
        <stp/>
        <stp>##V3_BDPV12</stp>
        <stp>eu0003m index</stp>
        <stp>CHG neT 5d</stp>
        <stp>[Macro RPRR.xlsx]eco data!R50C14</stp>
        <tr r="N50" s="8"/>
        <tr r="N50" s="8"/>
      </tp>
      <tp>
        <v>7.2000000000000005E-4</v>
        <stp/>
        <stp>##V3_BDPV12</stp>
        <stp>il0003m index</stp>
        <stp>CHG neT 5d</stp>
        <stp>[Macro RPRR.xlsx]eco data!R37C14</stp>
        <tr r="N37" s="8"/>
        <tr r="N37" s="8"/>
      </tp>
      <tp>
        <v>7.2000000000000005E-4</v>
        <stp/>
        <stp>##V3_BDPV12</stp>
        <stp>sp0003m index</stp>
        <stp>CHG neT 5d</stp>
        <stp>[Macro RPRR.xlsx]eco data!R24C14</stp>
        <tr r="N24" s="8"/>
        <tr r="N24" s="8"/>
      </tp>
      <tp t="s">
        <v>Consumer Discretionary</v>
        <stp/>
        <stp>##V3_BDPV12</stp>
        <stp>BDEV LN Equity</stp>
        <stp>gics sector name</stp>
        <stp>[Macro RPRR.xlsx]monitor!R59C33</stp>
        <tr r="AG59" s="10"/>
      </tp>
      <tp>
        <v>0</v>
        <stp/>
        <stp>##V3_BDPV12</stp>
        <stp>eu0003m index</stp>
        <stp>CHG neT 5d</stp>
        <stp>[Macro RPRR.xlsx]eco data!R11C23</stp>
        <tr r="W11" s="8"/>
        <tr r="W11" s="8"/>
      </tp>
      <tp t="s">
        <v>Consumer Staples</v>
        <stp/>
        <stp>##V3_BDPV12</stp>
        <stp>BATS LN Equity</stp>
        <stp>gics sector name</stp>
        <stp>[Macro RPRR.xlsx]monitor!R89C33</stp>
        <tr r="AG89" s="10"/>
      </tp>
      <tp t="s">
        <v>Financials</v>
        <stp/>
        <stp>##V3_BDPV12</stp>
        <stp>BARC LN Equity</stp>
        <stp>gics sector name</stp>
        <stp>[Macro RPRR.xlsx]monitor!R13C33</stp>
        <tr r="AG13" s="10"/>
      </tp>
      <tp t="s">
        <v>Real Estate</v>
        <stp/>
        <stp>##V3_BDPV12</stp>
        <stp>BLND LN Equity</stp>
        <stp>gics sector name</stp>
        <stp>[Macro RPRR.xlsx]monitor!R26C33</stp>
        <tr r="AG26" s="10"/>
      </tp>
      <tp t="s">
        <v>Industrials</v>
        <stp/>
        <stp>##V3_BDPV12</stp>
        <stp>BNZL LN Equity</stp>
        <stp>gics sector name</stp>
        <stp>[Macro RPRR.xlsx]monitor!R43C33</stp>
        <tr r="AG43" s="10"/>
      </tp>
      <tp t="s">
        <v>Communication Services</v>
        <stp/>
        <stp>##V3_BDPV12</stp>
        <stp>BT/A LN Equity</stp>
        <stp>gics sector name</stp>
        <stp>[Macro RPRR.xlsx]monitor!R57C33</stp>
        <tr r="AG57" s="10"/>
      </tp>
      <tp t="s">
        <v>Consumer Discretionary</v>
        <stp/>
        <stp>##V3_BDPV12</stp>
        <stp>BRBY LN Equity</stp>
        <stp>gics sector name</stp>
        <stp>[Macro RPRR.xlsx]monitor!R66C33</stp>
        <tr r="AG66" s="10"/>
      </tp>
      <tp>
        <v>13.752520000000001</v>
        <stp/>
        <stp>##V3_BDPV12</stp>
        <stp>IMB LN Equity</stp>
        <stp>chg PCt 1yr</stp>
        <stp>[Macro RPRR.xlsx]monitor!R84C32</stp>
        <tr r="AF84" s="10"/>
      </tp>
      <tp>
        <v>-14.599819999999999</v>
        <stp/>
        <stp>##V3_BDPV12</stp>
        <stp>WTB LN Equity</stp>
        <stp>chg PCt 1yr</stp>
        <stp>[Macro RPRR.xlsx]monitor!R53C32</stp>
        <tr r="AF53" s="10"/>
      </tp>
      <tp>
        <v>6.8867890000000003</v>
        <stp/>
        <stp>##V3_BDPV12</stp>
        <stp>601899 CG Equity</stp>
        <stp>chg PCt 1yr</stp>
        <stp>[Macro RPRR.xlsx]monitor!R8C44</stp>
        <tr r="AR8" s="10"/>
      </tp>
      <tp>
        <v>-6.4000000000000001E-2</v>
        <stp/>
        <stp>##V3_BDPV12</stp>
        <stp>shif3m index</stp>
        <stp>CHG neT 1m</stp>
        <stp>[Macro RPRR.xlsx]eco data!R24C24</stp>
        <tr r="X24" s="8"/>
        <tr r="X24" s="8"/>
      </tp>
      <tp>
        <v>311018.65625</v>
        <stp/>
        <stp>##V3_BDPV12</stp>
        <stp>IVV EQUITY</stp>
        <stp>Fund Total Assets</stp>
        <stp>[Macro RPRR.xlsx]flows!R3C8</stp>
        <tr r="H3" s="12"/>
      </tp>
      <tp>
        <v>1.1267400000000001</v>
        <stp/>
        <stp>##V3_BDPV12</stp>
        <stp>IBEX INDEX</stp>
        <stp>CHG PCT 5d</stp>
        <stp>[Macro RPRR.xlsx]eco data!R28C14</stp>
        <tr r="N28" s="8"/>
      </tp>
      <tp>
        <v>5</v>
        <stp/>
        <stp>##V3_BDPV12</stp>
        <stp>rudprYOY INDEX</stp>
        <stp>PX LAST</stp>
        <stp>[Macro RPRR.xlsx]eco data!R32C22</stp>
        <tr r="V32" s="8"/>
      </tp>
      <tp>
        <v>-16.71819</v>
        <stp/>
        <stp>##V3_BDPV12</stp>
        <stp>WEIR LN Equity</stp>
        <stp>chg PCt 1yr</stp>
        <stp>[Macro RPRR.xlsx]monitor!R4C32</stp>
        <tr r="AF4" s="10"/>
      </tp>
      <tp>
        <v>-0.753</v>
        <stp/>
        <stp>##V3_BDPV12</stp>
        <stp>SF0003m INDEX</stp>
        <stp>px last</stp>
        <stp>[Macro RPRR.xlsx]monitor!R79C14</stp>
        <tr r="N79" s="10"/>
      </tp>
      <tp>
        <v>1.13629</v>
        <stp/>
        <stp>##V3_BDPV12</stp>
        <stp>US0003m INDEX</stp>
        <stp>px last</stp>
        <stp>[Macro RPRR.xlsx]monitor!R72C14</stp>
        <tr r="N72" s="10"/>
      </tp>
      <tp>
        <v>6.2140000000000001E-2</v>
        <stp/>
        <stp>##V3_BDPV12</stp>
        <stp>EU0003m INDEX</stp>
        <stp>px last</stp>
        <stp>[Macro RPRR.xlsx]monitor!R92C14</stp>
        <tr r="N92" s="10"/>
      </tp>
      <tp>
        <v>1.1537999999999999</v>
        <stp/>
        <stp>##V3_BDPV12</stp>
        <stp>BP0003m INDEX</stp>
        <stp>px last</stp>
        <stp>[Macro RPRR.xlsx]monitor!R80C14</stp>
        <tr r="N80" s="10"/>
      </tp>
      <tp>
        <v>2.9569999999999999</v>
        <stp/>
        <stp>##V3_BDPV12</stp>
        <stp>Au0003m INDEX</stp>
        <stp>px last</stp>
        <stp>[Macro RPRR.xlsx]monitor!R83C14</stp>
        <tr r="N83" s="10"/>
      </tp>
      <tp>
        <v>2.83</v>
        <stp/>
        <stp>##V3_BDPV12</stp>
        <stp>NZ0003m INDEX</stp>
        <stp>px last</stp>
        <stp>[Macro RPRR.xlsx]monitor!R84C14</stp>
        <tr r="N84" s="10"/>
      </tp>
      <tp>
        <v>1.1735</v>
        <stp/>
        <stp>##V3_BDPV12</stp>
        <stp>CD0003m INDEX</stp>
        <stp>px last</stp>
        <stp>[Macro RPRR.xlsx]monitor!R73C14</stp>
        <tr r="N73" s="10"/>
      </tp>
      <tp>
        <v>6.2140000000000001E-2</v>
        <stp/>
        <stp>##V3_BDPV12</stp>
        <stp>EU0003m INDEX</stp>
        <stp>px last</stp>
        <stp>[Macro RPRR.xlsx]monitor!R78C14</stp>
        <tr r="N78" s="10"/>
      </tp>
      <tp>
        <v>6.2140000000000001E-2</v>
        <stp/>
        <stp>##V3_BDPV12</stp>
        <stp>EU0003m INDEX</stp>
        <stp>px last</stp>
        <stp>[Macro RPRR.xlsx]monitor!R77C14</stp>
        <tr r="N77" s="10"/>
      </tp>
      <tp>
        <v>6.2140000000000001E-2</v>
        <stp/>
        <stp>##V3_BDPV12</stp>
        <stp>EU0003m INDEX</stp>
        <stp>px last</stp>
        <stp>[Macro RPRR.xlsx]monitor!R76C14</stp>
        <tr r="N76" s="10"/>
      </tp>
      <tp>
        <v>6.2140000000000001E-2</v>
        <stp/>
        <stp>##V3_BDPV12</stp>
        <stp>EU0003m INDEX</stp>
        <stp>px last</stp>
        <stp>[Macro RPRR.xlsx]monitor!R75C14</stp>
        <tr r="N75" s="10"/>
      </tp>
      <tp>
        <v>6.2140000000000001E-2</v>
        <stp/>
        <stp>##V3_BDPV12</stp>
        <stp>EU0003m INDEX</stp>
        <stp>px last</stp>
        <stp>[Macro RPRR.xlsx]monitor!R74C14</stp>
        <tr r="N74" s="10"/>
      </tp>
      <tp>
        <v>-1.754E-2</v>
        <stp/>
        <stp>##V3_BDPV12</stp>
        <stp>Jy0003m INDEX</stp>
        <stp>px last</stp>
        <stp>[Macro RPRR.xlsx]monitor!R82C14</stp>
        <tr r="N82" s="10"/>
      </tp>
      <tp>
        <v>-2.7747999999999999</v>
        <stp/>
        <stp>##V3_BDPV12</stp>
        <stp>gbp curncy</stp>
        <stp>chg PCt 1m</stp>
        <stp>[Macro RPRR.xlsx]monitor!R80C15</stp>
        <tr r="O80" s="10"/>
      </tp>
      <tp>
        <v>6.4</v>
        <stp/>
        <stp>##V3_BDPV12</stp>
        <stp>itcpiyoy INDEX</stp>
        <stp>PX LAST</stp>
        <stp>[Macro RPRR.xlsx]eco data!R31C13</stp>
        <tr r="M31" s="8"/>
      </tp>
      <tp>
        <v>14.963044238092239</v>
        <stp/>
        <stp>##V3_BDPV12</stp>
        <stp>NKY index</stp>
        <stp>best pe ratio</stp>
        <stp>[Macro RPRR.xlsx]eco data!R41C4</stp>
        <tr r="D41" s="8"/>
      </tp>
      <tp>
        <v>-6.2595000000000001</v>
        <stp/>
        <stp>##V3_BDPV12</stp>
        <stp>gbp curncy</stp>
        <stp>chg PCt 6m</stp>
        <stp>[Macro RPRR.xlsx]monitor!R80C16</stp>
        <tr r="P80" s="10"/>
      </tp>
      <tp t="s">
        <v>Materials</v>
        <stp/>
        <stp>##V3_BDPV12</stp>
        <stp>CRDA LN Equity</stp>
        <stp>gics sector name</stp>
        <stp>[Macro RPRR.xlsx]monitor!R41C33</stp>
        <tr r="AG41" s="10"/>
      </tp>
      <tp>
        <v>-7.2364319999999998</v>
        <stp/>
        <stp>##V3_BDPV12</stp>
        <stp>DCC LN Equity</stp>
        <stp>chg PCt 1yr</stp>
        <stp>[Macro RPRR.xlsx]monitor!R75C32</stp>
        <tr r="AF75" s="10"/>
      </tp>
      <tp>
        <v>-40.20946</v>
        <stp/>
        <stp>##V3_BDPV12</stp>
        <stp>601888 CG Equity</stp>
        <stp>chg PCt 1yr</stp>
        <stp>[Macro RPRR.xlsx]monitor!R2C44</stp>
        <tr r="AR2" s="10"/>
      </tp>
      <tp>
        <v>7.38</v>
        <stp/>
        <stp>##V3_BDPV12</stp>
        <stp>ehcaDE INDEX</stp>
        <stp>PX LAST</stp>
        <stp>[Macro RPRR.xlsx]EU countries!R7C19</stp>
        <tr r="S7" s="11"/>
      </tp>
      <tp>
        <v>11.199199999999999</v>
        <stp/>
        <stp>##V3_BDPV12</stp>
        <stp>USDEUR curncy</stp>
        <stp>chg PCt 1yr</stp>
        <stp>[Macro RPRR.xlsx]monitor!R72C17</stp>
        <tr r="Q72" s="10"/>
      </tp>
      <tp>
        <v>-1.4999999999999999E-2</v>
        <stp/>
        <stp>##V3_BDPV12</stp>
        <stp>lisb3m index</stp>
        <stp>CHG neT 1m</stp>
        <stp>[Macro RPRR.xlsx]eco data!R11C15</stp>
        <tr r="O11" s="8"/>
        <tr r="O11" s="8"/>
      </tp>
      <tp t="s">
        <v>Consumer Staples</v>
        <stp/>
        <stp>##V3_BDPV12</stp>
        <stp>002304 CS Equity</stp>
        <stp>gics sector name</stp>
        <stp>[Macro RPRR.xlsx]monitor!R14C45</stp>
        <tr r="AS14" s="10"/>
      </tp>
      <tp t="s">
        <v>Industrials</v>
        <stp/>
        <stp>##V3_BDPV12</stp>
        <stp>002352 CS Equity</stp>
        <stp>gics sector name</stp>
        <stp>[Macro RPRR.xlsx]monitor!R16C45</stp>
        <tr r="AS16" s="10"/>
      </tp>
      <tp t="s">
        <v>Consumer Discretionary</v>
        <stp/>
        <stp>##V3_BDPV12</stp>
        <stp>002594 CS Equity</stp>
        <stp>gics sector name</stp>
        <stp>[Macro RPRR.xlsx]monitor!R28C45</stp>
        <tr r="AS28" s="10"/>
      </tp>
      <tp t="s">
        <v>Information Technology</v>
        <stp/>
        <stp>##V3_BDPV12</stp>
        <stp>002475 CS Equity</stp>
        <stp>gics sector name</stp>
        <stp>[Macro RPRR.xlsx]monitor!R31C45</stp>
        <tr r="AS31" s="10"/>
      </tp>
      <tp t="s">
        <v>Consumer Staples</v>
        <stp/>
        <stp>##V3_BDPV12</stp>
        <stp>002714 CS Equity</stp>
        <stp>gics sector name</stp>
        <stp>[Macro RPRR.xlsx]monitor!R22C45</stp>
        <tr r="AS22" s="10"/>
      </tp>
      <tp t="s">
        <v>Consumer Discretionary</v>
        <stp/>
        <stp>##V3_BDPV12</stp>
        <stp>002607 CS Equity</stp>
        <stp>gics sector name</stp>
        <stp>[Macro RPRR.xlsx]monitor!R26C45</stp>
        <tr r="AS26" s="10"/>
      </tp>
      <tp>
        <v>8.7802150000000001</v>
        <stp/>
        <stp>##V3_BDPV12</stp>
        <stp>MEXBOL index</stp>
        <stp>chg PCt 5yr</stp>
        <stp>[Macro RPRR.xlsx]monitor!R21C17</stp>
        <tr r="Q21" s="10"/>
      </tp>
      <tp>
        <v>9.4781709741247173</v>
        <stp/>
        <stp>##V3_BDPV12</stp>
        <stp>FTSEMIB index</stp>
        <stp>best pe ratio</stp>
        <stp>[Macro RPRR.xlsx]eco data!R41C13</stp>
        <tr r="M41" s="8"/>
      </tp>
      <tp>
        <v>1.397</v>
        <stp/>
        <stp>##V3_BDPV12</stp>
        <stp>gfrn10 index</stp>
        <stp>px last</stp>
        <stp>[Macro RPRR.xlsx]monitor!R7C3</stp>
        <tr r="C7" s="10"/>
      </tp>
      <tp>
        <v>-2.61436</v>
        <stp/>
        <stp>##V3_BDPV12</stp>
        <stp>SPX INDEX</stp>
        <stp>CHG PCT 1M</stp>
        <stp>[Macro RPRR.xlsx]eco data!R15C6</stp>
        <tr r="F15" s="8"/>
      </tp>
      <tp>
        <v>-1.190347</v>
        <stp/>
        <stp>##V3_BDPV12</stp>
        <stp>SPX INDEX</stp>
        <stp>CHG PCT 5d</stp>
        <stp>[Macro RPRR.xlsx]eco data!R15C5</stp>
        <tr r="E15" s="8"/>
      </tp>
      <tp>
        <v>43.56831214723428</v>
        <stp/>
        <stp>##V3_BDPV12</stp>
        <stp>gtfrf10yr Govt</stp>
        <stp>yld CHG neT 1m</stp>
        <stp>[Macro RPRR.xlsx]eco data!R52C15</stp>
        <tr r="O52" s="8"/>
      </tp>
      <tp>
        <v>-6.36</v>
        <stp/>
        <stp>##V3_BDPV12</stp>
        <stp>ehbbjpy INDEX</stp>
        <stp>PX LAST</stp>
        <stp>[Macro RPRR.xlsx]eco data!R33C4</stp>
        <tr r="D33" s="8"/>
      </tp>
      <tp t="s">
        <v>#N/A N/A</v>
        <stp/>
        <stp>##V3_BDPV12</stp>
        <stp>cb3 govt</stp>
        <stp>CHG neT 1yr</stp>
        <stp>[Macro RPRR.xlsx]eco data!R10C7</stp>
        <tr r="G10" s="8"/>
      </tp>
      <tp>
        <v>131.12856114723428</v>
        <stp/>
        <stp>##V3_BDPV12</stp>
        <stp>gtfrf10yr Govt</stp>
        <stp>yld CHG neT 1y</stp>
        <stp>[Macro RPRR.xlsx]eco data!R52C16</stp>
        <tr r="P52" s="8"/>
      </tp>
      <tp>
        <v>-8.4172949999999993</v>
        <stp/>
        <stp>##V3_BDPV12</stp>
        <stp>FTSEMIB index</stp>
        <stp>chg PCt 6m</stp>
        <stp>[Macro RPRR.xlsx]monitor!R8C15</stp>
        <tr r="O8" s="10"/>
      </tp>
      <tp>
        <v>-0.81002589999999997</v>
        <stp/>
        <stp>##V3_BDPV12</stp>
        <stp>FTSEMIB index</stp>
        <stp>chg PCt 1m</stp>
        <stp>[Macro RPRR.xlsx]monitor!R8C14</stp>
        <tr r="N8" s="10"/>
      </tp>
      <tp t="s">
        <v>Consumer Staples</v>
        <stp/>
        <stp>##V3_BDPV12</stp>
        <stp>603288 CG Equity</stp>
        <stp>gics sector name</stp>
        <stp>[Macro RPRR.xlsx]monitor!R19C45</stp>
        <tr r="AS19" s="10"/>
      </tp>
      <tp t="s">
        <v>Health Care</v>
        <stp/>
        <stp>##V3_BDPV12</stp>
        <stp>603259 CG Equity</stp>
        <stp>gics sector name</stp>
        <stp>[Macro RPRR.xlsx]monitor!R10C45</stp>
        <tr r="AS10" s="10"/>
      </tp>
      <tp>
        <v>1.958</v>
        <stp/>
        <stp>##V3_BDPV12</stp>
        <stp>gspt10 index</stp>
        <stp>px last</stp>
        <stp>[Macro RPRR.xlsx]EU countries!R13C7</stp>
        <tr r="G13" s="11"/>
      </tp>
      <tp t="s">
        <v>#N/A N/A</v>
        <stp/>
        <stp>##V3_BDPV12</stp>
        <stp>ehcapt index</stp>
        <stp>CHG neT 5d</stp>
        <stp>[Macro RPRR.xlsx]eco data!R7C14</stp>
        <tr r="N7" s="8"/>
      </tp>
      <tp t="s">
        <v>#N/A N/A</v>
        <stp/>
        <stp>##V3_BDPV12</stp>
        <stp>ehuppt index</stp>
        <stp>CHG neT 5d</stp>
        <stp>[Macro RPRR.xlsx]eco data!R8C14</stp>
        <tr r="N8" s="8"/>
      </tp>
      <tp t="s">
        <v>#N/A N/A</v>
        <stp/>
        <stp>##V3_BDPV12</stp>
        <stp>ehcapt index</stp>
        <stp>CHG neT 1m</stp>
        <stp>[Macro RPRR.xlsx]eco data!R7C15</stp>
        <tr r="O7" s="8"/>
      </tp>
      <tp t="s">
        <v>#N/A N/A</v>
        <stp/>
        <stp>##V3_BDPV12</stp>
        <stp>ehuppt index</stp>
        <stp>CHG neT 1m</stp>
        <stp>[Macro RPRR.xlsx]eco data!R8C15</stp>
        <tr r="O8" s="8"/>
      </tp>
      <tp>
        <v>-0.74033320000000002</v>
        <stp/>
        <stp>##V3_BDPV12</stp>
        <stp>MXEU000G index</stp>
        <stp>chg PCt 1m</stp>
        <stp>[Macro RPRR.xlsx]monitor!R72C4</stp>
        <tr r="D72" s="10"/>
      </tp>
      <tp>
        <v>-7.2734719999999999</v>
        <stp/>
        <stp>##V3_BDPV12</stp>
        <stp>MXEU000G index</stp>
        <stp>chg PCt 6m</stp>
        <stp>[Macro RPRR.xlsx]monitor!R72C5</stp>
        <tr r="E72" s="10"/>
      </tp>
      <tp t="s">
        <v>#N/A N/A</v>
        <stp/>
        <stp>##V3_BDPV12</stp>
        <stp>MXRU index</stp>
        <stp>chg PCt 6m</stp>
        <stp>[Macro RPRR.xlsx]monitor!R25C15</stp>
        <tr r="O25" s="10"/>
      </tp>
      <tp t="s">
        <v>#N/A N/A</v>
        <stp/>
        <stp>##V3_BDPV12</stp>
        <stp>MXRU index</stp>
        <stp>chg PCt 1m</stp>
        <stp>[Macro RPRR.xlsx]monitor!R25C14</stp>
        <tr r="N25" s="10"/>
      </tp>
      <tp>
        <v>-33.13908</v>
        <stp/>
        <stp>##V3_BDPV12</stp>
        <stp>SXRE index</stp>
        <stp>chg PCt 6m</stp>
        <stp>[Macro RPRR.xlsx]monitor!R43C17</stp>
        <tr r="Q43" s="10"/>
      </tp>
      <tp>
        <v>-7.572603</v>
        <stp/>
        <stp>##V3_BDPV12</stp>
        <stp>SXRE index</stp>
        <stp>chg PCt 1m</stp>
        <stp>[Macro RPRR.xlsx]monitor!R43C16</stp>
        <tr r="P43" s="10"/>
      </tp>
      <tp>
        <v>-2.4</v>
        <stp/>
        <stp>##V3_BDPV12</stp>
        <stp>ehupus index</stp>
        <stp>CHG neT 1yr</stp>
        <stp>[Macro RPRR.xlsx]eco data!R8C7</stp>
        <tr r="G8" s="8"/>
        <tr r="G8" s="8"/>
      </tp>
      <tp t="s">
        <v>#N/A N/A</v>
        <stp/>
        <stp>##V3_BDPV12</stp>
        <stp>ehcaFR index</stp>
        <stp>CHG neT 1m</stp>
        <stp>[Macro RPRR.xlsx]eco data!R47C15</stp>
        <tr r="O47" s="8"/>
      </tp>
      <tp>
        <v>10.144209999999999</v>
        <stp/>
        <stp>##V3_BDPV12</stp>
        <stp>GLD EQUITY</stp>
        <stp>MF_tot_1D</stp>
        <stp>[Macro RPRR.xlsx]flows!R15C9</stp>
        <tr r="I15" s="12"/>
      </tp>
      <tp t="s">
        <v>Consumer Discretionary</v>
        <stp/>
        <stp>##V3_BDPV12</stp>
        <stp>600104 CG Equity</stp>
        <stp>gics sector name</stp>
        <stp>[Macro RPRR.xlsx]monitor!R47C45</stp>
        <tr r="AS47" s="10"/>
      </tp>
      <tp t="s">
        <v>Financials</v>
        <stp/>
        <stp>##V3_BDPV12</stp>
        <stp>000001 CS Equity</stp>
        <stp>gics sector name</stp>
        <stp>[Macro RPRR.xlsx]monitor!R18C45</stp>
        <tr r="AS18" s="10"/>
      </tp>
      <tp t="s">
        <v>Real Estate</v>
        <stp/>
        <stp>##V3_BDPV12</stp>
        <stp>000002 CS Equity</stp>
        <stp>gics sector name</stp>
        <stp>[Macro RPRR.xlsx]monitor!R37C45</stp>
        <tr r="AS37" s="10"/>
      </tp>
      <tp t="s">
        <v>Health Care</v>
        <stp/>
        <stp>##V3_BDPV12</stp>
        <stp>300015 CS Equity</stp>
        <stp>gics sector name</stp>
        <stp>[Macro RPRR.xlsx]monitor!R12C45</stp>
        <tr r="AS12" s="10"/>
      </tp>
      <tp t="s">
        <v>Financials</v>
        <stp/>
        <stp>##V3_BDPV12</stp>
        <stp>300059 CS Equity</stp>
        <stp>gics sector name</stp>
        <stp>[Macro RPRR.xlsx]monitor!R13C45</stp>
        <tr r="AS13" s="10"/>
      </tp>
      <tp t="s">
        <v>Industrials</v>
        <stp/>
        <stp>##V3_BDPV12</stp>
        <stp>600031 CG Equity</stp>
        <stp>gics sector name</stp>
        <stp>[Macro RPRR.xlsx]monitor!R11C45</stp>
        <tr r="AS11" s="10"/>
      </tp>
      <tp t="s">
        <v>Financials</v>
        <stp/>
        <stp>##V3_BDPV12</stp>
        <stp>600036 CG Equity</stp>
        <stp>gics sector name</stp>
        <stp>[Macro RPRR.xlsx]monitor!R21C45</stp>
        <tr r="AS21" s="10"/>
      </tp>
      <tp t="s">
        <v>Energy</v>
        <stp/>
        <stp>##V3_BDPV12</stp>
        <stp>600028 CG Equity</stp>
        <stp>gics sector name</stp>
        <stp>[Macro RPRR.xlsx]monitor!R46C45</stp>
        <tr r="AS46" s="10"/>
      </tp>
      <tp t="s">
        <v>Financials</v>
        <stp/>
        <stp>##V3_BDPV12</stp>
        <stp>600030 CG Equity</stp>
        <stp>gics sector name</stp>
        <stp>[Macro RPRR.xlsx]monitor!R41C45</stp>
        <tr r="AS41" s="10"/>
      </tp>
      <tp t="s">
        <v>Financials</v>
        <stp/>
        <stp>##V3_BDPV12</stp>
        <stp>600000 CG Equity</stp>
        <stp>gics sector name</stp>
        <stp>[Macro RPRR.xlsx]monitor!R42C45</stp>
        <tr r="AS42" s="10"/>
      </tp>
      <tp t="s">
        <v>Consumer Discretionary</v>
        <stp/>
        <stp>##V3_BDPV12</stp>
        <stp>000333 CS Equity</stp>
        <stp>gics sector name</stp>
        <stp>[Macro RPRR.xlsx]monitor!R17C45</stp>
        <tr r="AS17" s="10"/>
      </tp>
      <tp t="s">
        <v>Health Care</v>
        <stp/>
        <stp>##V3_BDPV12</stp>
        <stp>600276 CG Equity</stp>
        <stp>gics sector name</stp>
        <stp>[Macro RPRR.xlsx]monitor!R33C45</stp>
        <tr r="AS33" s="10"/>
      </tp>
      <tp t="s">
        <v>Materials</v>
        <stp/>
        <stp>##V3_BDPV12</stp>
        <stp>600585 CG Equity</stp>
        <stp>gics sector name</stp>
        <stp>[Macro RPRR.xlsx]monitor!R51C45</stp>
        <tr r="AS51" s="10"/>
      </tp>
      <tp t="s">
        <v>Consumer Staples</v>
        <stp/>
        <stp>##V3_BDPV12</stp>
        <stp>600519 CG Equity</stp>
        <stp>gics sector name</stp>
        <stp>[Macro RPRR.xlsx]monitor!R15C45</stp>
        <tr r="AS15" s="10"/>
      </tp>
      <tp t="s">
        <v>Health Care</v>
        <stp/>
        <stp>##V3_BDPV12</stp>
        <stp>300760 CS Equity</stp>
        <stp>gics sector name</stp>
        <stp>[Macro RPRR.xlsx]monitor!R20C45</stp>
        <tr r="AS20" s="10"/>
      </tp>
      <tp t="s">
        <v>Consumer Discretionary</v>
        <stp/>
        <stp>##V3_BDPV12</stp>
        <stp>000651 CS Equity</stp>
        <stp>gics sector name</stp>
        <stp>[Macro RPRR.xlsx]monitor!R38C45</stp>
        <tr r="AS38" s="10"/>
      </tp>
      <tp t="s">
        <v>Utilities</v>
        <stp/>
        <stp>##V3_BDPV12</stp>
        <stp>600900 CG Equity</stp>
        <stp>gics sector name</stp>
        <stp>[Macro RPRR.xlsx]monitor!R27C45</stp>
        <tr r="AS27" s="10"/>
      </tp>
      <tp t="s">
        <v>Consumer Staples</v>
        <stp/>
        <stp>##V3_BDPV12</stp>
        <stp>000858 CS Equity</stp>
        <stp>gics sector name</stp>
        <stp>[Macro RPRR.xlsx]monitor!R30C45</stp>
        <tr r="AS30" s="10"/>
      </tp>
      <tp t="s">
        <v>Consumer Staples</v>
        <stp/>
        <stp>##V3_BDPV12</stp>
        <stp>600887 CG Equity</stp>
        <stp>gics sector name</stp>
        <stp>[Macro RPRR.xlsx]monitor!R24C45</stp>
        <tr r="AS24" s="10"/>
      </tp>
      <tp>
        <v>1.9079999999999999</v>
        <stp/>
        <stp>##V3_BDPV12</stp>
        <stp>gspg10 index</stp>
        <stp>px last</stp>
        <stp>[Macro RPRR.xlsx]EU countries!R10C7</stp>
        <tr r="G10" s="11"/>
      </tp>
      <tp t="s">
        <v>Materials</v>
        <stp/>
        <stp>##V3_BDPV12</stp>
        <stp>GLEN LN Equity</stp>
        <stp>gics sector name</stp>
        <stp>[Macro RPRR.xlsx]monitor!R7C33</stp>
        <tr r="AG7" s="10"/>
      </tp>
      <tp>
        <v>0.28999999999999998</v>
        <stp/>
        <stp>##V3_BDPV12</stp>
        <stp>lisb3m INDEX</stp>
        <stp>px last</stp>
        <stp>[Macro RPRR.xlsx]eco data!R11C13</stp>
        <tr r="M11" s="8"/>
      </tp>
      <tp>
        <v>18.100000000000001</v>
        <stp/>
        <stp>##V3_BDPV12</stp>
        <stp>cesiusd index</stp>
        <stp>chg net 1m</stp>
        <stp>[Macro RPRR.xlsx]rprr!R7C2</stp>
        <tr r="B7" s="4"/>
      </tp>
      <tp>
        <v>1.751058</v>
        <stp/>
        <stp>##V3_BDPV12</stp>
        <stp>MXEU000v index</stp>
        <stp>chg PCt 1m</stp>
        <stp>[Macro RPRR.xlsx]monitor!R71C4</stp>
        <tr r="D71" s="10"/>
      </tp>
      <tp>
        <v>4.2999049999999999</v>
        <stp/>
        <stp>##V3_BDPV12</stp>
        <stp>MXEU000v index</stp>
        <stp>chg PCt 6m</stp>
        <stp>[Macro RPRR.xlsx]monitor!R71C5</stp>
        <tr r="E71" s="10"/>
      </tp>
      <tp>
        <v>-11.00081</v>
        <stp/>
        <stp>##V3_BDPV12</stp>
        <stp>SXQE index</stp>
        <stp>chg PCt 6m</stp>
        <stp>[Macro RPRR.xlsx]monitor!R42C17</stp>
        <tr r="Q42" s="10"/>
      </tp>
      <tp>
        <v>-2.3452790000000001</v>
        <stp/>
        <stp>##V3_BDPV12</stp>
        <stp>SXQE index</stp>
        <stp>chg PCt 1m</stp>
        <stp>[Macro RPRR.xlsx]monitor!R42C16</stp>
        <tr r="P42" s="10"/>
      </tp>
      <tp>
        <v>2.7343649999999999</v>
        <stp/>
        <stp>##V3_BDPV12</stp>
        <stp>GT2 Govt</stp>
        <stp>bid yield</stp>
        <stp>[Macro RPRR.xlsx]eco data!R12C4</stp>
        <tr r="D12" s="8"/>
      </tp>
      <tp>
        <v>19.456144366117375</v>
        <stp/>
        <stp>##V3_BDPV12</stp>
        <stp>NIFTY index</stp>
        <stp>best pe ratio</stp>
        <stp>[Macro RPRR.xlsx]monitor!R23C13</stp>
        <tr r="M23" s="10"/>
      </tp>
      <tp t="s">
        <v>Information Technology</v>
        <stp/>
        <stp>##V3_BDPV12</stp>
        <stp>601138 CG Equity</stp>
        <stp>gics sector name</stp>
        <stp>[Macro RPRR.xlsx]monitor!R40C45</stp>
        <tr r="AS40" s="10"/>
      </tp>
      <tp t="s">
        <v>Financials</v>
        <stp/>
        <stp>##V3_BDPV12</stp>
        <stp>601166 CG Equity</stp>
        <stp>gics sector name</stp>
        <stp>[Macro RPRR.xlsx]monitor!R23C45</stp>
        <tr r="AS23" s="10"/>
      </tp>
      <tp t="s">
        <v>Energy</v>
        <stp/>
        <stp>##V3_BDPV12</stp>
        <stp>601088 CG Equity</stp>
        <stp>gics sector name</stp>
        <stp>[Macro RPRR.xlsx]monitor!R34C45</stp>
        <tr r="AS34" s="10"/>
      </tp>
      <tp t="s">
        <v>Financials</v>
        <stp/>
        <stp>##V3_BDPV12</stp>
        <stp>601066 CG Equity</stp>
        <stp>gics sector name</stp>
        <stp>[Macro RPRR.xlsx]monitor!R36C45</stp>
        <tr r="AS36" s="10"/>
      </tp>
      <tp t="s">
        <v>Financials</v>
        <stp/>
        <stp>##V3_BDPV12</stp>
        <stp>601398 CG Equity</stp>
        <stp>gics sector name</stp>
        <stp>[Macro RPRR.xlsx]monitor!R43C45</stp>
        <tr r="AS43" s="10"/>
      </tp>
      <tp t="s">
        <v>Financials</v>
        <stp/>
        <stp>##V3_BDPV12</stp>
        <stp>601318 CG Equity</stp>
        <stp>gics sector name</stp>
        <stp>[Macro RPRR.xlsx]monitor!R39C45</stp>
        <tr r="AS39" s="10"/>
      </tp>
      <tp t="s">
        <v>Financials</v>
        <stp/>
        <stp>##V3_BDPV12</stp>
        <stp>601328 CG Equity</stp>
        <stp>gics sector name</stp>
        <stp>[Macro RPRR.xlsx]monitor!R48C45</stp>
        <tr r="AS48" s="10"/>
      </tp>
      <tp>
        <v>-3.290279</v>
        <stp/>
        <stp>##V3_BDPV12</stp>
        <stp>sml index</stp>
        <stp>chg PCt 1m</stp>
        <stp>[Macro RPRR.xlsx]monitor!R79C4</stp>
        <tr r="D79" s="10"/>
      </tp>
      <tp>
        <v>-6.4258509999999998</v>
        <stp/>
        <stp>##V3_BDPV12</stp>
        <stp>sml index</stp>
        <stp>chg PCt 6m</stp>
        <stp>[Macro RPRR.xlsx]monitor!R79C5</stp>
        <tr r="E79" s="10"/>
      </tp>
      <tp t="s">
        <v>Financials</v>
        <stp/>
        <stp>##V3_BDPV12</stp>
        <stp>601288 CG Equity</stp>
        <stp>gics sector name</stp>
        <stp>[Macro RPRR.xlsx]monitor!R45C45</stp>
        <tr r="AS45" s="10"/>
      </tp>
      <tp t="s">
        <v>Financials</v>
        <stp/>
        <stp>##V3_BDPV12</stp>
        <stp>601601 CG Equity</stp>
        <stp>gics sector name</stp>
        <stp>[Macro RPRR.xlsx]monitor!R25C45</stp>
        <tr r="AS25" s="10"/>
      </tp>
      <tp t="s">
        <v>Financials</v>
        <stp/>
        <stp>##V3_BDPV12</stp>
        <stp>601628 CG Equity</stp>
        <stp>gics sector name</stp>
        <stp>[Macro RPRR.xlsx]monitor!R35C45</stp>
        <tr r="AS35" s="10"/>
      </tp>
      <tp t="s">
        <v>Financials</v>
        <stp/>
        <stp>##V3_BDPV12</stp>
        <stp>601988 CG Equity</stp>
        <stp>gics sector name</stp>
        <stp>[Macro RPRR.xlsx]monitor!R49C45</stp>
        <tr r="AS49" s="10"/>
      </tp>
      <tp t="s">
        <v>Financials</v>
        <stp/>
        <stp>##V3_BDPV12</stp>
        <stp>601998 CG Equity</stp>
        <stp>gics sector name</stp>
        <stp>[Macro RPRR.xlsx]monitor!R44C45</stp>
        <tr r="AS44" s="10"/>
      </tp>
      <tp t="s">
        <v>Financials</v>
        <stp/>
        <stp>##V3_BDPV12</stp>
        <stp>601939 CG Equity</stp>
        <stp>gics sector name</stp>
        <stp>[Macro RPRR.xlsx]monitor!R32C45</stp>
        <tr r="AS32" s="10"/>
      </tp>
      <tp t="s">
        <v>Industrials</v>
        <stp/>
        <stp>##V3_BDPV12</stp>
        <stp>601816 CG Equity</stp>
        <stp>gics sector name</stp>
        <stp>[Macro RPRR.xlsx]monitor!R29C45</stp>
        <tr r="AS29" s="10"/>
      </tp>
      <tp t="s">
        <v>Energy</v>
        <stp/>
        <stp>##V3_BDPV12</stp>
        <stp>601857 CG Equity</stp>
        <stp>gics sector name</stp>
        <stp>[Macro RPRR.xlsx]monitor!R50C45</stp>
        <tr r="AS50" s="10"/>
      </tp>
      <tp>
        <v>111.5864</v>
        <stp/>
        <stp>##V3_BDPV12</stp>
        <stp>ISF LN EQUITY</stp>
        <stp>MF_tot_1D</stp>
        <stp>[Macro RPRR.xlsx]flows!R22C9</stp>
        <tr r="I22" s="12"/>
      </tp>
      <tp>
        <v>-0.69199999999999995</v>
        <stp/>
        <stp>##V3_BDPV12</stp>
        <stp>getb1 INDEX</stp>
        <stp>px last</stp>
        <stp>[Macro RPRR.xlsx]eco data!R23C4</stp>
        <tr r="D23" s="8"/>
      </tp>
      <tp t="s">
        <v>Materials</v>
        <stp/>
        <stp>##V3_BDPV12</stp>
        <stp>ANTO LN Equity</stp>
        <stp>gics sector name</stp>
        <stp>[Macro RPRR.xlsx]monitor!R8C33</stp>
        <tr r="AG8" s="10"/>
      </tp>
      <tp>
        <v>46.203960000000002</v>
        <stp/>
        <stp>##V3_BDPV12</stp>
        <stp>S5utiL INDEX</stp>
        <stp>chg PCt 5yr</stp>
        <stp>[Macro RPRR.xlsx]monitor!R47C9</stp>
        <tr r="I47" s="10"/>
      </tp>
      <tp>
        <v>13.24971</v>
        <stp/>
        <stp>##V3_BDPV12</stp>
        <stp>S5utiL INDEX</stp>
        <stp>chg PCt 1yr</stp>
        <stp>[Macro RPRR.xlsx]monitor!R47C8</stp>
        <tr r="H47" s="10"/>
      </tp>
      <tp>
        <v>-13.835889999999999</v>
        <stp/>
        <stp>##V3_BDPV12</stp>
        <stp>SHCOMP index</stp>
        <stp>chg PCt 6m</stp>
        <stp>[Macro RPRR.xlsx]monitor!R22C15</stp>
        <tr r="O22" s="10"/>
      </tp>
      <tp>
        <v>-5.3052279999999996</v>
        <stp/>
        <stp>##V3_BDPV12</stp>
        <stp>SHCOMP index</stp>
        <stp>chg PCt 1m</stp>
        <stp>[Macro RPRR.xlsx]monitor!R22C14</stp>
        <tr r="N22" s="10"/>
      </tp>
      <tp>
        <v>10.4123</v>
        <stp/>
        <stp>##V3_BDPV12</stp>
        <stp>SXPE index</stp>
        <stp>chg PCt 6m</stp>
        <stp>[Macro RPRR.xlsx]monitor!R41C17</stp>
        <tr r="Q41" s="10"/>
      </tp>
      <tp>
        <v>2.317005</v>
        <stp/>
        <stp>##V3_BDPV12</stp>
        <stp>SXPE index</stp>
        <stp>chg PCt 1m</stp>
        <stp>[Macro RPRR.xlsx]monitor!R41C16</stp>
        <tr r="P41" s="10"/>
      </tp>
      <tp>
        <v>106.063</v>
        <stp/>
        <stp>##V3_BDPV12</stp>
        <stp>EOdeU006 INDEX</stp>
        <stp>PX LAST</stp>
        <stp>[Macro RPRR.xlsx]EU countries!R7C21</stp>
        <tr r="U7" s="11"/>
      </tp>
      <tp>
        <v>6.2119999999999997</v>
        <stp/>
        <stp>##V3_BDPV12</stp>
        <stp>itpirlys index</stp>
        <stp>px last</stp>
        <stp>[Macro RPRR.xlsx]eco data!R32C13</stp>
        <tr r="M32" s="8"/>
      </tp>
      <tp>
        <v>9.8000000000000004E-2</v>
        <stp/>
        <stp>##V3_BDPV12</stp>
        <stp>UKGTB3M index</stp>
        <stp>CHG neT 5d</stp>
        <stp>[Macro RPRR.xlsx]eco data!R49C5</stp>
        <tr r="E49" s="8"/>
      </tp>
      <tp>
        <v>0.16500000000000001</v>
        <stp/>
        <stp>##V3_BDPV12</stp>
        <stp>UKGTB3M index</stp>
        <stp>CHG neT 1m</stp>
        <stp>[Macro RPRR.xlsx]eco data!R49C6</stp>
        <tr r="F49" s="8"/>
        <tr r="F49" s="8"/>
      </tp>
      <tp>
        <v>8.5043869999999995</v>
        <stp/>
        <stp>##V3_BDPV12</stp>
        <stp>MEXBOL index</stp>
        <stp>chg PCt 1yr</stp>
        <stp>[Macro RPRR.xlsx]monitor!R21C16</stp>
        <tr r="P21" s="10"/>
      </tp>
      <tp t="s">
        <v>Semiconductors</v>
        <stp/>
        <stp>##V3_BDPV12</stp>
        <stp>6857 JT Equity</stp>
        <stp>industry group</stp>
        <stp>[Macro RPRR.xlsx]monitor!R8C40</stp>
        <tr r="AN8" s="10"/>
      </tp>
      <tp>
        <v>3.2235170000000002</v>
        <stp/>
        <stp>##V3_BDPV12</stp>
        <stp>mwmftr index</stp>
        <stp>chg PCt 1yr</stp>
        <stp>[Macro RPRR.xlsx]monitor!R83C6</stp>
        <tr r="F83" s="10"/>
      </tp>
      <tp>
        <v>111.67919999999999</v>
        <stp/>
        <stp>##V3_BDPV12</stp>
        <stp>mwmftr index</stp>
        <stp>chg PCt 5yr</stp>
        <stp>[Macro RPRR.xlsx]monitor!R83C7</stp>
        <tr r="G83" s="10"/>
      </tp>
      <tp>
        <v>6.3448921472342823</v>
        <stp/>
        <stp>##V3_BDPV12</stp>
        <stp>gtfrf10yr Govt</stp>
        <stp>yld CHG neT 5d</stp>
        <stp>[Macro RPRR.xlsx]eco data!R52C14</stp>
        <tr r="N52" s="8"/>
      </tp>
      <tp>
        <v>-89.785989999999998</v>
        <stp/>
        <stp>##V3_BDPV12</stp>
        <stp>LQD EQUITY</stp>
        <stp>MF_tot_1D</stp>
        <stp>[Macro RPRR.xlsx]flows!R10C9</stp>
        <tr r="I10" s="12"/>
      </tp>
      <tp>
        <v>-13.76248</v>
        <stp/>
        <stp>##V3_BDPV12</stp>
        <stp>S5tels INDEX</stp>
        <stp>chg PCt 1yr</stp>
        <stp>[Macro RPRR.xlsx]monitor!R44C8</stp>
        <tr r="H44" s="10"/>
      </tp>
      <tp>
        <v>31.213730000000002</v>
        <stp/>
        <stp>##V3_BDPV12</stp>
        <stp>S5tels INDEX</stp>
        <stp>chg PCt 5yr</stp>
        <stp>[Macro RPRR.xlsx]monitor!R44C9</stp>
        <tr r="I44" s="10"/>
      </tp>
      <tp>
        <v>-0.60532010260142655</v>
        <stp/>
        <stp>##V3_BDPV12</stp>
        <stp>gtpte3m govt</stp>
        <stp>yld ytm mid</stp>
        <stp>[Macro RPRR.xlsx]eco data!R10C13</stp>
        <tr r="M10" s="8"/>
      </tp>
      <tp t="s">
        <v>Telecommunications</v>
        <stp/>
        <stp>##V3_BDPV12</stp>
        <stp>9984 JT Equity</stp>
        <stp>industry group</stp>
        <stp>[Macro RPRR.xlsx]monitor!R5C40</stp>
        <tr r="AN5" s="10"/>
      </tp>
      <tp>
        <v>0.4</v>
        <stp/>
        <stp>##V3_BDPV12</stp>
        <stp>JGDPNSAQ index</stp>
        <stp>PX last</stp>
        <stp>[Macro RPRR.xlsx]eco data!R32C4</stp>
        <tr r="D32" s="8"/>
      </tp>
      <tp t="s">
        <v>#N/A N/A</v>
        <stp/>
        <stp>##V3_BDPV12</stp>
        <stp>ehcaFR index</stp>
        <stp>CHG neT 5d</stp>
        <stp>[Macro RPRR.xlsx]eco data!R47C14</stp>
        <tr r="N47" s="8"/>
      </tp>
      <tp>
        <v>-102.56910000000001</v>
        <stp/>
        <stp>##V3_BDPV12</stp>
        <stp>IEF EQUITY</stp>
        <stp>MF_tot_1D</stp>
        <stp>[Macro RPRR.xlsx]flows!R13C9</stp>
        <tr r="I13" s="12"/>
      </tp>
      <tp>
        <v>17.594670000000001</v>
        <stp/>
        <stp>##V3_BDPV12</stp>
        <stp>S5cons INDEX</stp>
        <stp>chg PCt 1yr</stp>
        <stp>[Macro RPRR.xlsx]monitor!R45C8</stp>
        <tr r="H45" s="10"/>
      </tp>
      <tp>
        <v>48.948250000000002</v>
        <stp/>
        <stp>##V3_BDPV12</stp>
        <stp>S5cons INDEX</stp>
        <stp>chg PCt 5yr</stp>
        <stp>[Macro RPRR.xlsx]monitor!R45C9</stp>
        <tr r="I45" s="10"/>
      </tp>
      <tp t="s">
        <v>Consumer Discretionary</v>
        <stp/>
        <stp>##V3_BDPV12</stp>
        <stp>601888 CG Equity</stp>
        <stp>gics sector name</stp>
        <stp>[Macro RPRR.xlsx]monitor!R2C45</stp>
        <tr r="AS2" s="10"/>
      </tp>
      <tp t="s">
        <v>Consumer Staples</v>
        <stp/>
        <stp>##V3_BDPV12</stp>
        <stp>000568 CS Equity</stp>
        <stp>gics sector name</stp>
        <stp>[Macro RPRR.xlsx]monitor!R6C45</stp>
        <tr r="AS6" s="10"/>
      </tp>
      <tp t="s">
        <v>Consumer Discretionary</v>
        <stp/>
        <stp>##V3_BDPV12</stp>
        <stp>ENT LN Equity</stp>
        <stp>gics sector name</stp>
        <stp>[Macro RPRR.xlsx]monitor!R2C33</stp>
        <tr r="AG2" s="10"/>
      </tp>
      <tp t="s">
        <v>Industrials</v>
        <stp/>
        <stp>##V3_BDPV12</stp>
        <stp>AHT LN Equity</stp>
        <stp>gics sector name</stp>
        <stp>[Macro RPRR.xlsx]monitor!R5C33</stp>
        <tr r="AG5" s="10"/>
      </tp>
      <tp>
        <v>7.5999999999999998E-2</v>
        <stp/>
        <stp>##V3_BDPV12</stp>
        <stp>Gjgb2 index</stp>
        <stp>CHG neT 1yr</stp>
        <stp>[Macro RPRR.xlsx]eco data!R38C7</stp>
        <tr r="G38" s="8"/>
        <tr r="G38" s="8"/>
      </tp>
      <tp>
        <v>-1</v>
        <stp/>
        <stp>##V3_BDPV12</stp>
        <stp>ehuppt index</stp>
        <stp>CHG neT 1yr</stp>
        <stp>[Macro RPRR.xlsx]eco data!R8C16</stp>
        <tr r="P8" s="8"/>
        <tr r="P8" s="8"/>
      </tp>
      <tp>
        <v>-7.0000000000000007E-2</v>
        <stp/>
        <stp>##V3_BDPV12</stp>
        <stp>ehcapt index</stp>
        <stp>CHG neT 1yr</stp>
        <stp>[Macro RPRR.xlsx]eco data!R7C16</stp>
        <tr r="P7" s="8"/>
        <tr r="P7" s="8"/>
      </tp>
      <tp t="s">
        <v>Materials</v>
        <stp/>
        <stp>##V3_BDPV12</stp>
        <stp>601899 CG Equity</stp>
        <stp>gics sector name</stp>
        <stp>[Macro RPRR.xlsx]monitor!R8C45</stp>
        <tr r="AS8" s="10"/>
      </tp>
      <tp t="s">
        <v>Materials</v>
        <stp/>
        <stp>##V3_BDPV12</stp>
        <stp>600309 CG Equity</stp>
        <stp>gics sector name</stp>
        <stp>[Macro RPRR.xlsx]monitor!R7C45</stp>
        <tr r="AS7" s="10"/>
      </tp>
      <tp t="s">
        <v>Consumer Staples</v>
        <stp/>
        <stp>##V3_BDPV12</stp>
        <stp>600809 CG Equity</stp>
        <stp>gics sector name</stp>
        <stp>[Macro RPRR.xlsx]monitor!R4C45</stp>
        <tr r="AS4" s="10"/>
      </tp>
      <tp>
        <v>0.59257599999999999</v>
        <stp/>
        <stp>##V3_BDPV12</stp>
        <stp>gTITL2yr govt</stp>
        <stp>bid yield</stp>
        <stp>[Macro RPRR.xlsx]eco data!R38C13</stp>
        <tr r="M38" s="8"/>
      </tp>
      <tp>
        <v>1.9079999999999999</v>
        <stp/>
        <stp>##V3_BDPV12</stp>
        <stp>gspg10 index</stp>
        <stp>px last</stp>
        <stp>[Macro RPRR.xlsx]monitor!R9C3</stp>
        <tr r="C9" s="10"/>
      </tp>
      <tp>
        <v>-9.2904280000000004</v>
        <stp/>
        <stp>##V3_BDPV12</stp>
        <stp>MXEU000S index</stp>
        <stp>chg PCt 6m</stp>
        <stp>[Macro RPRR.xlsx]monitor!R74C5</stp>
        <tr r="E74" s="10"/>
      </tp>
      <tp>
        <v>-1.509506</v>
        <stp/>
        <stp>##V3_BDPV12</stp>
        <stp>MXEU000S index</stp>
        <stp>chg PCt 1m</stp>
        <stp>[Macro RPRR.xlsx]monitor!R74C4</stp>
        <tr r="D74" s="10"/>
      </tp>
      <tp>
        <v>-22.49258</v>
        <stp/>
        <stp>##V3_BDPV12</stp>
        <stp>SXTE index</stp>
        <stp>chg PCt 6m</stp>
        <stp>[Macro RPRR.xlsx]monitor!R44C17</stp>
        <tr r="Q44" s="10"/>
      </tp>
      <tp>
        <v>2.7625000000000002</v>
        <stp/>
        <stp>##V3_BDPV12</stp>
        <stp>micxru10 index</stp>
        <stp>chg net 1yr</stp>
        <stp>[Macro RPRR.xlsx]monitor!R25C6</stp>
        <tr r="F25" s="10"/>
      </tp>
      <tp>
        <v>2.0802</v>
        <stp/>
        <stp>##V3_BDPV12</stp>
        <stp>micxru10 index</stp>
        <stp>chg net 5yr</stp>
        <stp>[Macro RPRR.xlsx]monitor!R25C7</stp>
        <tr r="G25" s="10"/>
      </tp>
      <tp>
        <v>7.4</v>
        <stp/>
        <stp>##V3_BDPV12</stp>
        <stp>ECCPEMUY INDEX</stp>
        <stp>px last</stp>
        <stp>[Macro RPRR.xlsx]eco data!R18C4</stp>
        <tr r="D18" s="8"/>
      </tp>
      <tp>
        <v>-3.4747499999999998</v>
        <stp/>
        <stp>##V3_BDPV12</stp>
        <stp>SXTE index</stp>
        <stp>chg PCt 1m</stp>
        <stp>[Macro RPRR.xlsx]monitor!R44C16</stp>
        <tr r="P44" s="10"/>
      </tp>
      <tp>
        <v>185.3931</v>
        <stp/>
        <stp>##V3_BDPV12</stp>
        <stp>S5INft INDEX</stp>
        <stp>chg PCt 5yr</stp>
        <stp>[Macro RPRR.xlsx]monitor!R43C9</stp>
        <tr r="I43" s="10"/>
      </tp>
      <tp>
        <v>4.519164</v>
        <stp/>
        <stp>##V3_BDPV12</stp>
        <stp>S5INft INDEX</stp>
        <stp>chg PCt 1yr</stp>
        <stp>[Macro RPRR.xlsx]monitor!R43C8</stp>
        <tr r="H43" s="10"/>
      </tp>
      <tp t="s">
        <v>Materials</v>
        <stp/>
        <stp>##V3_BDPV12</stp>
        <stp>600346 CG Equity</stp>
        <stp>gics sector name</stp>
        <stp>[Macro RPRR.xlsx]monitor!R3C45</stp>
        <tr r="AS3" s="10"/>
      </tp>
      <tp>
        <v>0.47</v>
        <stp/>
        <stp>##V3_BDPV12</stp>
        <stp>gcan10yr index</stp>
        <stp>chg net 1m</stp>
        <stp>[Macro RPRR.xlsx]monitor!R5C4</stp>
        <tr r="D5" s="10"/>
      </tp>
      <tp>
        <v>1.236</v>
        <stp/>
        <stp>##V3_BDPV12</stp>
        <stp>gcan10yr index</stp>
        <stp>chg net 6m</stp>
        <stp>[Macro RPRR.xlsx]monitor!R5C5</stp>
        <tr r="E5" s="10"/>
      </tp>
      <tp>
        <v>-16.399999999999999</v>
        <stp/>
        <stp>##V3_BDPV12</stp>
        <stp>SLV EQUITY</stp>
        <stp>MF_tot_1W</stp>
        <stp>[Macro RPRR.xlsx]flows!R18C10</stp>
        <tr r="J18" s="12"/>
      </tp>
      <tp>
        <v>0</v>
        <stp/>
        <stp>##V3_BDPV12</stp>
        <stp>RSX EQUITY</stp>
        <stp>MF_tot_1W</stp>
        <stp>[Macro RPRR.xlsx]flows!R37C10</stp>
        <tr r="J37" s="12"/>
      </tp>
      <tp>
        <v>-16.260000000000002</v>
        <stp/>
        <stp>##V3_BDPV12</stp>
        <stp>VWO EQUITY</stp>
        <stp>MF_tot_1W</stp>
        <stp>[Macro RPRR.xlsx]flows!R33C10</stp>
        <tr r="J33" s="12"/>
      </tp>
      <tp>
        <v>-54.57</v>
        <stp/>
        <stp>##V3_BDPV12</stp>
        <stp>USO EQUITY</stp>
        <stp>MF_tot_1W</stp>
        <stp>[Macro RPRR.xlsx]flows!R17C10</stp>
        <tr r="J17" s="12"/>
      </tp>
      <tp>
        <v>-410.73</v>
        <stp/>
        <stp>##V3_BDPV12</stp>
        <stp>TIP EQUITY</stp>
        <stp>MF_tot_1W</stp>
        <stp>[Macro RPRR.xlsx]flows!R11C10</stp>
        <tr r="J11" s="12"/>
      </tp>
      <tp>
        <v>-108.75</v>
        <stp/>
        <stp>##V3_BDPV12</stp>
        <stp>IEF EQUITY</stp>
        <stp>MF_tot_1W</stp>
        <stp>[Macro RPRR.xlsx]flows!R13C10</stp>
        <tr r="J13" s="12"/>
      </tp>
      <tp>
        <v>-6.53</v>
        <stp/>
        <stp>##V3_BDPV12</stp>
        <stp>IEI EQUITY</stp>
        <stp>MF_tot_1W</stp>
        <stp>[Macro RPRR.xlsx]flows!R12C10</stp>
        <tr r="J12" s="12"/>
      </tp>
      <tp>
        <v>-66.2</v>
        <stp/>
        <stp>##V3_BDPV12</stp>
        <stp>IAU EQUITY</stp>
        <stp>MF_tot_1W</stp>
        <stp>[Macro RPRR.xlsx]flows!R16C10</stp>
        <tr r="J16" s="12"/>
      </tp>
      <tp>
        <v>-307.82</v>
        <stp/>
        <stp>##V3_BDPV12</stp>
        <stp>LQD EQUITY</stp>
        <stp>MF_tot_1W</stp>
        <stp>[Macro RPRR.xlsx]flows!R10C10</stp>
        <tr r="J10" s="12"/>
      </tp>
      <tp>
        <v>285.69</v>
        <stp/>
        <stp>##V3_BDPV12</stp>
        <stp>GLD EQUITY</stp>
        <stp>MF_tot_1W</stp>
        <stp>[Macro RPRR.xlsx]flows!R15C10</stp>
        <tr r="J15" s="12"/>
      </tp>
      <tp t="s">
        <v>Internet</v>
        <stp/>
        <stp>##V3_BDPV12</stp>
        <stp>2413 JT Equity</stp>
        <stp>industry group</stp>
        <stp>[Macro RPRR.xlsx]monitor!R6C40</stp>
        <tr r="AN6" s="10"/>
      </tp>
      <tp>
        <v>168.18</v>
        <stp/>
        <stp>##V3_BDPV12</stp>
        <stp>EWZ EQUITY</stp>
        <stp>MF_tot_1W</stp>
        <stp>[Macro RPRR.xlsx]flows!R36C10</stp>
        <tr r="J36" s="12"/>
      </tp>
      <tp>
        <v>0.98</v>
        <stp/>
        <stp>##V3_BDPV12</stp>
        <stp>DBA EQUITY</stp>
        <stp>MF_tot_1W</stp>
        <stp>[Macro RPRR.xlsx]flows!R19C10</stp>
        <tr r="J19" s="12"/>
      </tp>
      <tp>
        <v>19.198740000000001</v>
        <stp/>
        <stp>##V3_BDPV12</stp>
        <stp>NIFTY index</stp>
        <stp>chg PCt 1yr</stp>
        <stp>[Macro RPRR.xlsx]monitor!R23C16</stp>
        <tr r="P23" s="10"/>
      </tp>
      <tp>
        <v>-7.136145</v>
        <stp/>
        <stp>##V3_BDPV12</stp>
        <stp>NKY index</stp>
        <stp>chg PCt 1yr</stp>
        <stp>[Macro RPRR.xlsx]monitor!R14C16</stp>
        <tr r="P14" s="10"/>
      </tp>
      <tp>
        <v>-9.9096290000000007</v>
        <stp/>
        <stp>##V3_BDPV12</stp>
        <stp>USO EQUITY</stp>
        <stp>MF_tot_1D</stp>
        <stp>[Macro RPRR.xlsx]flows!R17C9</stp>
        <tr r="I17" s="12"/>
      </tp>
      <tp>
        <v>3.8023929999999999</v>
        <stp/>
        <stp>##V3_BDPV12</stp>
        <stp>DBA EQUITY</stp>
        <stp>MF_tot_1D</stp>
        <stp>[Macro RPRR.xlsx]flows!R19C9</stp>
        <tr r="I19" s="12"/>
      </tp>
      <tp>
        <v>-5.6937740000000003</v>
        <stp/>
        <stp>##V3_BDPV12</stp>
        <stp>OMX index</stp>
        <stp>chg PCt 1yr</stp>
        <stp>[Macro RPRR.xlsx]monitor!R13C16</stp>
        <tr r="P13" s="10"/>
      </tp>
      <tp>
        <v>6.0286920000000004</v>
        <stp/>
        <stp>##V3_BDPV12</stp>
        <stp>ASX index</stp>
        <stp>chg PCt 1yr</stp>
        <stp>[Macro RPRR.xlsx]monitor!R24C16</stp>
        <tr r="P24" s="10"/>
      </tp>
      <tp>
        <v>-8.8526679999999995</v>
        <stp/>
        <stp>##V3_BDPV12</stp>
        <stp>SX86E index</stp>
        <stp>chg PCt 1yr</stp>
        <stp>[Macro RPRR.xlsx]monitor!R55C18</stp>
        <tr r="R55" s="10"/>
      </tp>
      <tp>
        <v>1.63</v>
        <stp/>
        <stp>##V3_BDPV12</stp>
        <stp>gsgb10 index</stp>
        <stp>px last</stp>
        <stp>[Macro RPRR.xlsx]EU countries!R28C7</stp>
        <tr r="G28" s="11"/>
      </tp>
      <tp>
        <v>101.4336</v>
        <stp/>
        <stp>##V3_BDPV12</stp>
        <stp>S5cond INDEX</stp>
        <stp>chg PCt 5yr</stp>
        <stp>[Macro RPRR.xlsx]monitor!R39C9</stp>
        <tr r="I39" s="10"/>
      </tp>
      <tp>
        <v>0.47819289999999998</v>
        <stp/>
        <stp>##V3_BDPV12</stp>
        <stp>S5cond INDEX</stp>
        <stp>chg PCt 1yr</stp>
        <stp>[Macro RPRR.xlsx]monitor!R39C8</stp>
        <tr r="H39" s="10"/>
      </tp>
      <tp>
        <v>6.1</v>
        <stp/>
        <stp>##V3_BDPV12</stp>
        <stp>ECCPEMUy index</stp>
        <stp>CHG neT 1yr</stp>
        <stp>[Macro RPRR.xlsx]eco data!R18C7</stp>
        <tr r="G18" s="8"/>
        <tr r="G18" s="8"/>
      </tp>
      <tp>
        <v>45.252278548137006</v>
        <stp/>
        <stp>##V3_BDPV12</stp>
        <stp>gtfrf2yr Govt</stp>
        <stp>yld CHG neT 1m</stp>
        <stp>[Macro RPRR.xlsx]eco data!R51C15</stp>
        <tr r="O51" s="8"/>
      </tp>
      <tp>
        <v>90.478568548137005</v>
        <stp/>
        <stp>##V3_BDPV12</stp>
        <stp>gtfrf2yr Govt</stp>
        <stp>yld CHG neT 1y</stp>
        <stp>[Macro RPRR.xlsx]eco data!R51C16</stp>
        <tr r="P51" s="8"/>
      </tp>
      <tp>
        <v>44.567990000000002</v>
        <stp/>
        <stp>##V3_BDPV12</stp>
        <stp>SX6E index</stp>
        <stp>chg PCt 5yr</stp>
        <stp>[Macro RPRR.xlsx]monitor!R53C19</stp>
        <tr r="S53" s="10"/>
      </tp>
      <tp>
        <v>67.386560000000003</v>
        <stp/>
        <stp>##V3_BDPV12</stp>
        <stp>SX8E index</stp>
        <stp>chg PCt 5yr</stp>
        <stp>[Macro RPRR.xlsx]monitor!R52C19</stp>
        <tr r="S52" s="10"/>
      </tp>
      <tp>
        <v>16.858260000000001</v>
        <stp/>
        <stp>##V3_BDPV12</stp>
        <stp>SXXE index</stp>
        <stp>chg PCt 5yr</stp>
        <stp>[Macro RPRR.xlsx]monitor!R56C19</stp>
        <tr r="S56" s="10"/>
      </tp>
      <tp>
        <v>4.3200289999999999</v>
        <stp/>
        <stp>##V3_BDPV12</stp>
        <stp>SXDE index</stp>
        <stp>chg PCt 5yr</stp>
        <stp>[Macro RPRR.xlsx]monitor!R51C19</stp>
        <tr r="S51" s="10"/>
      </tp>
      <tp>
        <v>23.86121</v>
        <stp/>
        <stp>##V3_BDPV12</stp>
        <stp>SXIE index</stp>
        <stp>chg PCt 5yr</stp>
        <stp>[Macro RPRR.xlsx]monitor!R50C19</stp>
        <tr r="S50" s="10"/>
      </tp>
      <tp>
        <v>18.729379999999999</v>
        <stp/>
        <stp>##V3_BDPV12</stp>
        <stp>SXME index</stp>
        <stp>chg PCt 5yr</stp>
        <stp>[Macro RPRR.xlsx]monitor!R54C19</stp>
        <tr r="S54" s="10"/>
      </tp>
      <tp>
        <v>38.167729999999999</v>
        <stp/>
        <stp>##V3_BDPV12</stp>
        <stp>SX4E index</stp>
        <stp>chg PCt 5yr</stp>
        <stp>[Macro RPRR.xlsx]monitor!R45C19</stp>
        <tr r="S45" s="10"/>
      </tp>
      <tp>
        <v>-8.5756859999999993</v>
        <stp/>
        <stp>##V3_BDPV12</stp>
        <stp>SX3E index</stp>
        <stp>chg PCt 5yr</stp>
        <stp>[Macro RPRR.xlsx]monitor!R48C19</stp>
        <tr r="S48" s="10"/>
      </tp>
      <tp>
        <v>13.22885</v>
        <stp/>
        <stp>##V3_BDPV12</stp>
        <stp>SXPE index</stp>
        <stp>chg PCt 5yr</stp>
        <stp>[Macro RPRR.xlsx]monitor!R41C19</stp>
        <tr r="S41" s="10"/>
      </tp>
      <tp>
        <v>-2.872128</v>
        <stp/>
        <stp>##V3_BDPV12</stp>
        <stp>SXRE index</stp>
        <stp>chg PCt 5yr</stp>
        <stp>[Macro RPRR.xlsx]monitor!R43C19</stp>
        <tr r="S43" s="10"/>
      </tp>
      <tp>
        <v>-24.644020000000001</v>
        <stp/>
        <stp>##V3_BDPV12</stp>
        <stp>SXTE index</stp>
        <stp>chg PCt 5yr</stp>
        <stp>[Macro RPRR.xlsx]monitor!R44C19</stp>
        <tr r="S44" s="10"/>
      </tp>
      <tp>
        <v>63.77308</v>
        <stp/>
        <stp>##V3_BDPV12</stp>
        <stp>SXQE index</stp>
        <stp>chg PCt 5yr</stp>
        <stp>[Macro RPRR.xlsx]monitor!R42C19</stp>
        <tr r="S42" s="10"/>
      </tp>
      <tp>
        <v>38.995849999999997</v>
        <stp/>
        <stp>##V3_BDPV12</stp>
        <stp>SXFE index</stp>
        <stp>chg PCt 5yr</stp>
        <stp>[Macro RPRR.xlsx]monitor!R47C19</stp>
        <tr r="S47" s="10"/>
      </tp>
      <tp>
        <v>33.02478</v>
        <stp/>
        <stp>##V3_BDPV12</stp>
        <stp>SXNE index</stp>
        <stp>chg PCt 5yr</stp>
        <stp>[Macro RPRR.xlsx]monitor!R49C19</stp>
        <tr r="S49" s="10"/>
      </tp>
      <tp>
        <v>16.498529999999999</v>
        <stp/>
        <stp>##V3_BDPV12</stp>
        <stp>SXOE index</stp>
        <stp>chg PCt 5yr</stp>
        <stp>[Macro RPRR.xlsx]monitor!R46C19</stp>
        <tr r="S46" s="10"/>
      </tp>
      <tp>
        <v>-12.67576</v>
        <stp/>
        <stp>##V3_BDPV12</stp>
        <stp>SXKE index</stp>
        <stp>chg PCt 5yr</stp>
        <stp>[Macro RPRR.xlsx]monitor!R40C19</stp>
        <tr r="S40" s="10"/>
      </tp>
      <tp>
        <v>-27.754249999999999</v>
        <stp/>
        <stp>##V3_BDPV12</stp>
        <stp>SX7E index</stp>
        <stp>chg PCt 5yr</stp>
        <stp>[Macro RPRR.xlsx]monitor!R37C19</stp>
        <tr r="S37" s="10"/>
      </tp>
      <tp>
        <v>1.107059</v>
        <stp/>
        <stp>##V3_BDPV12</stp>
        <stp>SXAE index</stp>
        <stp>chg PCt 5yr</stp>
        <stp>[Macro RPRR.xlsx]monitor!R38C19</stp>
        <tr r="S38" s="10"/>
      </tp>
      <tp>
        <v>-2.5513520000000001</v>
        <stp/>
        <stp>##V3_BDPV12</stp>
        <stp>SXEE index</stp>
        <stp>chg PCt 5yr</stp>
        <stp>[Macro RPRR.xlsx]monitor!R39C19</stp>
        <tr r="S39" s="10"/>
      </tp>
      <tp>
        <v>52.365519999999997</v>
        <stp/>
        <stp>##V3_BDPV12</stp>
        <stp>vix index</stp>
        <stp>chg PCt 6m</stp>
        <stp>[Macro RPRR.xlsx]monitor!R84C5</stp>
        <tr r="E84" s="10"/>
      </tp>
      <tp>
        <v>2.4847410000000001</v>
        <stp/>
        <stp>##V3_BDPV12</stp>
        <stp>vix index</stp>
        <stp>chg PCt 1m</stp>
        <stp>[Macro RPRR.xlsx]monitor!R84C4</stp>
        <tr r="D84" s="10"/>
      </tp>
      <tp>
        <v>51.840130000000002</v>
        <stp/>
        <stp>##V3_BDPV12</stp>
        <stp>S5indu INDEX</stp>
        <stp>chg PCt 5yr</stp>
        <stp>[Macro RPRR.xlsx]monitor!R42C9</stp>
        <tr r="I42" s="10"/>
      </tp>
      <tp>
        <v>5.5</v>
        <stp/>
        <stp>##V3_BDPV12</stp>
        <stp>spnagdpy index</stp>
        <stp>px last</stp>
        <stp>[Macro RPRR.xlsx]eco data!R19C13</stp>
        <tr r="M19" s="8"/>
      </tp>
      <tp>
        <v>0.45586529999999997</v>
        <stp/>
        <stp>##V3_BDPV12</stp>
        <stp>S5indu INDEX</stp>
        <stp>chg PCt 1yr</stp>
        <stp>[Macro RPRR.xlsx]monitor!R42C8</stp>
        <tr r="H42" s="10"/>
      </tp>
      <tp>
        <v>-0.79710000000000003</v>
        <stp/>
        <stp>##V3_BDPV12</stp>
        <stp>CAD curncy</stp>
        <stp>chg PCt 1m</stp>
        <stp>[Macro RPRR.xlsx]monitor!R73C15</stp>
        <tr r="O73" s="10"/>
      </tp>
      <tp>
        <v>6.3</v>
        <stp/>
        <stp>##V3_BDPV12</stp>
        <stp>ehuppt index</stp>
        <stp>px last</stp>
        <stp>[Macro RPRR.xlsx]eco data!R8C13</stp>
        <tr r="M8" s="8"/>
      </tp>
      <tp>
        <v>-2.4070999999999998</v>
        <stp/>
        <stp>##V3_BDPV12</stp>
        <stp>CAD curncy</stp>
        <stp>chg PCt 6m</stp>
        <stp>[Macro RPRR.xlsx]monitor!R73C16</stp>
        <tr r="P73" s="10"/>
      </tp>
      <tp>
        <v>98.62</v>
        <stp/>
        <stp>##V3_BDPV12</stp>
        <stp>MCHI EQUITY</stp>
        <stp>MF_tot_1M</stp>
        <stp>[Macro RPRR.xlsx]flows!R35C11</stp>
        <tr r="K35" s="12"/>
      </tp>
      <tp>
        <v>-7.8879330000000003</v>
        <stp/>
        <stp>##V3_BDPV12</stp>
        <stp>SXXE index</stp>
        <stp>chg PCt 6m</stp>
        <stp>[Macro RPRR.xlsx]monitor!R56C17</stp>
        <tr r="Q56" s="10"/>
      </tp>
      <tp t="s">
        <v>Electronics</v>
        <stp/>
        <stp>##V3_BDPV12</stp>
        <stp>7735 JT Equity</stp>
        <stp>industry group</stp>
        <stp>[Macro RPRR.xlsx]monitor!R7C40</stp>
        <tr r="AN7" s="10"/>
      </tp>
      <tp>
        <v>-1.395499</v>
        <stp/>
        <stp>##V3_BDPV12</stp>
        <stp>SXXE index</stp>
        <stp>chg PCt 1m</stp>
        <stp>[Macro RPRR.xlsx]monitor!R56C16</stp>
        <tr r="P56" s="10"/>
      </tp>
      <tp t="s">
        <v>#N/A N/A</v>
        <stp/>
        <stp>##V3_BDPV12</stp>
        <stp>ehgddey index</stp>
        <stp>CHG neT 1m</stp>
        <stp>[Macro RPRR.xlsx]eco data!R5C24</stp>
        <tr r="X5" s="8"/>
      </tp>
      <tp t="s">
        <v>#N/A N/A</v>
        <stp/>
        <stp>##V3_BDPV12</stp>
        <stp>ehgddey index</stp>
        <stp>CHG neT 5d</stp>
        <stp>[Macro RPRR.xlsx]eco data!R5C23</stp>
        <tr r="W5" s="8"/>
      </tp>
      <tp>
        <v>-8.3307669999999998</v>
        <stp/>
        <stp>##V3_BDPV12</stp>
        <stp>IEI EQUITY</stp>
        <stp>MF_tot_1D</stp>
        <stp>[Macro RPRR.xlsx]flows!R12C9</stp>
        <tr r="I12" s="12"/>
      </tp>
      <tp t="s">
        <v>Information Technology</v>
        <stp/>
        <stp>##V3_BDPV12</stp>
        <stp>601012 CG Equity</stp>
        <stp>gics sector name</stp>
        <stp>[Macro RPRR.xlsx]monitor!R5C45</stp>
        <tr r="AS5" s="10"/>
      </tp>
      <tp>
        <v>2.3558520000000001</v>
        <stp/>
        <stp>##V3_BDPV12</stp>
        <stp>svx index</stp>
        <stp>chg PCt 6m</stp>
        <stp>[Macro RPRR.xlsx]monitor!R76C5</stp>
        <tr r="E76" s="10"/>
      </tp>
      <tp>
        <v>0.96568399999999999</v>
        <stp/>
        <stp>##V3_BDPV12</stp>
        <stp>svx index</stp>
        <stp>chg PCt 1m</stp>
        <stp>[Macro RPRR.xlsx]monitor!R76C4</stp>
        <tr r="D76" s="10"/>
      </tp>
      <tp t="s">
        <v>ISHARES CORE U.S. AGGREGATE</v>
        <stp/>
        <stp>##V3_BDPV12</stp>
        <stp>AGG EQUITY</stp>
        <stp>Name</stp>
        <stp>[Macro RPRR.xlsx]flows!R8C3</stp>
        <tr r="C8" s="12"/>
      </tp>
      <tp t="s">
        <v>Environmental Control</v>
        <stp/>
        <stp>##V3_BDPV12</stp>
        <stp>7004 JT Equity</stp>
        <stp>industry group</stp>
        <stp>[Macro RPRR.xlsx]monitor!R4C40</stp>
        <tr r="AN4" s="10"/>
      </tp>
      <tp>
        <v>88.301289999999995</v>
        <stp/>
        <stp>##V3_BDPV12</stp>
        <stp>NIFTY index</stp>
        <stp>chg PCt 5yr</stp>
        <stp>[Macro RPRR.xlsx]monitor!R23C17</stp>
        <tr r="Q23" s="10"/>
      </tp>
      <tp>
        <v>45.564810000000001</v>
        <stp/>
        <stp>##V3_BDPV12</stp>
        <stp>NKY index</stp>
        <stp>chg PCt 5yr</stp>
        <stp>[Macro RPRR.xlsx]monitor!R14C17</stp>
        <tr r="Q14" s="10"/>
      </tp>
      <tp>
        <v>13.186199999999999</v>
        <stp/>
        <stp>##V3_BDPV12</stp>
        <stp>VWO EQUITY</stp>
        <stp>MF_tot_1D</stp>
        <stp>[Macro RPRR.xlsx]flows!R33C9</stp>
        <tr r="I33" s="12"/>
      </tp>
      <tp>
        <v>1.9969999999999999</v>
        <stp/>
        <stp>##V3_BDPV12</stp>
        <stp>gukg10 index</stp>
        <stp>px last</stp>
        <stp>[Macro RPRR.xlsx]EU countries!R19C7</stp>
        <tr r="G19" s="11"/>
      </tp>
      <tp>
        <v>-8.8441700000000001</v>
        <stp/>
        <stp>##V3_BDPV12</stp>
        <stp>sgx index</stp>
        <stp>chg PCt 6m</stp>
        <stp>[Macro RPRR.xlsx]monitor!R77C5</stp>
        <tr r="E77" s="10"/>
      </tp>
      <tp>
        <v>-6.1138389999999996</v>
        <stp/>
        <stp>##V3_BDPV12</stp>
        <stp>sgx index</stp>
        <stp>chg PCt 1m</stp>
        <stp>[Macro RPRR.xlsx]monitor!R77C4</stp>
        <tr r="D77" s="10"/>
      </tp>
      <tp>
        <v>15.389148920096726</v>
        <stp/>
        <stp>##V3_BDPV12</stp>
        <stp>PSI20 index</stp>
        <stp>best pe ratio</stp>
        <stp>[Macro RPRR.xlsx]monitor!R10C13</stp>
        <tr r="M10" s="10"/>
      </tp>
      <tp>
        <v>0.79</v>
        <stp/>
        <stp>##V3_BDPV12</stp>
        <stp>cb3 govt</stp>
        <stp>px last</stp>
        <stp>[Macro RPRR.xlsx]eco data!R10C4</stp>
        <tr r="D10" s="8"/>
      </tp>
      <tp>
        <v>0.11625000000000008</v>
        <stp/>
        <stp>##V3_BDPV12</stp>
        <stp>cb3 govt</stp>
        <stp>CHG neT 1m</stp>
        <stp>[Macro RPRR.xlsx]eco data!R10C6</stp>
        <tr r="F10" s="8"/>
        <tr r="F10" s="8"/>
      </tp>
      <tp>
        <v>1.0000000000000009E-2</v>
        <stp/>
        <stp>##V3_BDPV12</stp>
        <stp>cb3 govt</stp>
        <stp>CHG neT 5d</stp>
        <stp>[Macro RPRR.xlsx]eco data!R10C5</stp>
        <tr r="E10" s="8"/>
        <tr r="E10" s="8"/>
      </tp>
      <tp t="s">
        <v>Transportation</v>
        <stp/>
        <stp>##V3_BDPV12</stp>
        <stp>9107 JT Equity</stp>
        <stp>industry group</stp>
        <stp>[Macro RPRR.xlsx]monitor!R3C40</stp>
        <tr r="AN3" s="10"/>
      </tp>
      <tp t="s">
        <v>Transportation</v>
        <stp/>
        <stp>##V3_BDPV12</stp>
        <stp>9104 JT Equity</stp>
        <stp>industry group</stp>
        <stp>[Macro RPRR.xlsx]monitor!R9C40</stp>
        <tr r="AN9" s="10"/>
      </tp>
      <tp t="s">
        <v>Transportation</v>
        <stp/>
        <stp>##V3_BDPV12</stp>
        <stp>9101 JT Equity</stp>
        <stp>industry group</stp>
        <stp>[Macro RPRR.xlsx]monitor!R2C40</stp>
        <tr r="AN2" s="10"/>
      </tp>
      <tp>
        <v>33.819600000000001</v>
        <stp/>
        <stp>##V3_BDPV12</stp>
        <stp>OMX index</stp>
        <stp>chg PCt 5yr</stp>
        <stp>[Macro RPRR.xlsx]monitor!R13C17</stp>
        <tr r="Q13" s="10"/>
      </tp>
      <tp>
        <v>7.4503259999999996</v>
        <stp/>
        <stp>##V3_BDPV12</stp>
        <stp>ASX index</stp>
        <stp>chg PCt 5yr</stp>
        <stp>[Macro RPRR.xlsx]monitor!R24C17</stp>
        <tr r="Q24" s="10"/>
      </tp>
      <tp>
        <v>-10.53655</v>
        <stp/>
        <stp>##V3_BDPV12</stp>
        <stp>SX86E index</stp>
        <stp>chg PCt 5yr</stp>
        <stp>[Macro RPRR.xlsx]monitor!R55C19</stp>
        <tr r="S55" s="10"/>
      </tp>
      <tp t="s">
        <v>Industrials</v>
        <stp/>
        <stp>##V3_BDPV12</stp>
        <stp>300750 CS Equity</stp>
        <stp>gics sector name</stp>
        <stp>[Macro RPRR.xlsx]monitor!R9C45</stp>
        <tr r="AS9" s="10"/>
      </tp>
      <tp>
        <v>-0.29670000000000002</v>
        <stp/>
        <stp>##V3_BDPV12</stp>
        <stp>CAC FP EQUITY</stp>
        <stp>MF_tot_1D</stp>
        <stp>[Macro RPRR.xlsx]flows!R23C9</stp>
        <tr r="I23" s="12"/>
      </tp>
      <tp>
        <v>1.2570000000000001</v>
        <stp/>
        <stp>##V3_BDPV12</stp>
        <stp>GUKG10 index</stp>
        <stp>CHG neT 1yr</stp>
        <stp>[Macro RPRR.xlsx]eco data!R52C7</stp>
        <tr r="G52" s="8"/>
        <tr r="G52" s="8"/>
      </tp>
      <tp>
        <v>-3.83</v>
        <stp/>
        <stp>##V3_BDPV12</stp>
        <stp>ehbbcny INDEX</stp>
        <stp>PX LAST</stp>
        <stp>[Macro RPRR.xlsx]eco data!R20C22</stp>
        <tr r="V20" s="8"/>
      </tp>
      <tp t="s">
        <v>VANGUARD TOTAL BOND MARKET</v>
        <stp/>
        <stp>##V3_BDPV12</stp>
        <stp>BND EQUITY</stp>
        <stp>Name</stp>
        <stp>[Macro RPRR.xlsx]flows!R9C3</stp>
        <tr r="C9" s="12"/>
      </tp>
      <tp>
        <v>17.230663548137002</v>
        <stp/>
        <stp>##V3_BDPV12</stp>
        <stp>gtfrf2yr Govt</stp>
        <stp>yld CHG neT 5d</stp>
        <stp>[Macro RPRR.xlsx]eco data!R51C14</stp>
        <tr r="N51" s="8"/>
      </tp>
      <tp>
        <v>2.4500000000000002</v>
        <stp/>
        <stp>##V3_BDPV12</stp>
        <stp>ehcait INDEX</stp>
        <stp>PX LAST</stp>
        <stp>[Macro RPRR.xlsx]EU countries!R9C19</stp>
        <tr r="S9" s="11"/>
      </tp>
      <tp>
        <v>1.2</v>
        <stp/>
        <stp>##V3_BDPV12</stp>
        <stp>jncpiyoy INDEX</stp>
        <stp>px last</stp>
        <stp>[Macro RPRR.xlsx]eco data!R31C4</stp>
        <tr r="D31" s="8"/>
      </tp>
      <tp>
        <v>-0.55000000000000004</v>
        <stp/>
        <stp>##V3_BDPV12</stp>
        <stp>ehcaus index</stp>
        <stp>CHG neT 1yr</stp>
        <stp>[Macro RPRR.xlsx]eco data!R7C7</stp>
        <tr r="G7" s="8"/>
        <tr r="G7" s="8"/>
      </tp>
      <tp>
        <v>3.6095920000000001</v>
        <stp/>
        <stp>##V3_BDPV12</stp>
        <stp>SX4E index</stp>
        <stp>chg PCt 1yr</stp>
        <stp>[Macro RPRR.xlsx]monitor!R45C18</stp>
        <tr r="R45" s="10"/>
      </tp>
      <tp>
        <v>-2.165476</v>
        <stp/>
        <stp>##V3_BDPV12</stp>
        <stp>SX3E index</stp>
        <stp>chg PCt 1yr</stp>
        <stp>[Macro RPRR.xlsx]monitor!R48C18</stp>
        <tr r="R48" s="10"/>
      </tp>
      <tp>
        <v>9.2152670000000008</v>
        <stp/>
        <stp>##V3_BDPV12</stp>
        <stp>SXPE index</stp>
        <stp>chg PCt 1yr</stp>
        <stp>[Macro RPRR.xlsx]monitor!R41C18</stp>
        <tr r="R41" s="10"/>
      </tp>
      <tp>
        <v>-34.445419999999999</v>
        <stp/>
        <stp>##V3_BDPV12</stp>
        <stp>SXRE index</stp>
        <stp>chg PCt 1yr</stp>
        <stp>[Macro RPRR.xlsx]monitor!R43C18</stp>
        <tr r="R43" s="10"/>
      </tp>
      <tp>
        <v>-25.267019999999999</v>
        <stp/>
        <stp>##V3_BDPV12</stp>
        <stp>SXTE index</stp>
        <stp>chg PCt 1yr</stp>
        <stp>[Macro RPRR.xlsx]monitor!R44C18</stp>
        <tr r="R44" s="10"/>
      </tp>
      <tp>
        <v>-4.6202110000000003</v>
        <stp/>
        <stp>##V3_BDPV12</stp>
        <stp>SXQE index</stp>
        <stp>chg PCt 1yr</stp>
        <stp>[Macro RPRR.xlsx]monitor!R42C18</stp>
        <tr r="R42" s="10"/>
      </tp>
      <tp>
        <v>1.500032</v>
        <stp/>
        <stp>##V3_BDPV12</stp>
        <stp>SXFE index</stp>
        <stp>chg PCt 1yr</stp>
        <stp>[Macro RPRR.xlsx]monitor!R47C18</stp>
        <tr r="R47" s="10"/>
      </tp>
      <tp>
        <v>-8.245514</v>
        <stp/>
        <stp>##V3_BDPV12</stp>
        <stp>SXNE index</stp>
        <stp>chg PCt 1yr</stp>
        <stp>[Macro RPRR.xlsx]monitor!R49C18</stp>
        <tr r="R49" s="10"/>
      </tp>
      <tp>
        <v>1.554065</v>
        <stp/>
        <stp>##V3_BDPV12</stp>
        <stp>SXOE index</stp>
        <stp>chg PCt 1yr</stp>
        <stp>[Macro RPRR.xlsx]monitor!R46C18</stp>
        <tr r="R46" s="10"/>
      </tp>
      <tp>
        <v>12.051259999999999</v>
        <stp/>
        <stp>##V3_BDPV12</stp>
        <stp>SXKE index</stp>
        <stp>chg PCt 1yr</stp>
        <stp>[Macro RPRR.xlsx]monitor!R40C18</stp>
        <tr r="R40" s="10"/>
      </tp>
      <tp>
        <v>-6.0142540000000002</v>
        <stp/>
        <stp>##V3_BDPV12</stp>
        <stp>SX6E index</stp>
        <stp>chg PCt 1yr</stp>
        <stp>[Macro RPRR.xlsx]monitor!R53C18</stp>
        <tr r="R53" s="10"/>
      </tp>
      <tp>
        <v>-10.274889999999999</v>
        <stp/>
        <stp>##V3_BDPV12</stp>
        <stp>SX8E index</stp>
        <stp>chg PCt 1yr</stp>
        <stp>[Macro RPRR.xlsx]monitor!R52C18</stp>
        <tr r="R52" s="10"/>
      </tp>
      <tp>
        <v>-2.600956</v>
        <stp/>
        <stp>##V3_BDPV12</stp>
        <stp>SXXE index</stp>
        <stp>chg PCt 1yr</stp>
        <stp>[Macro RPRR.xlsx]monitor!R56C18</stp>
        <tr r="R56" s="10"/>
      </tp>
      <tp>
        <v>2.7903289999999998</v>
        <stp/>
        <stp>##V3_BDPV12</stp>
        <stp>SXDE index</stp>
        <stp>chg PCt 1yr</stp>
        <stp>[Macro RPRR.xlsx]monitor!R51C18</stp>
        <tr r="R51" s="10"/>
      </tp>
      <tp>
        <v>6.8000970000000001</v>
        <stp/>
        <stp>##V3_BDPV12</stp>
        <stp>SXIE index</stp>
        <stp>chg PCt 1yr</stp>
        <stp>[Macro RPRR.xlsx]monitor!R50C18</stp>
        <tr r="R50" s="10"/>
      </tp>
      <tp>
        <v>9.4033850000000001</v>
        <stp/>
        <stp>##V3_BDPV12</stp>
        <stp>SXME index</stp>
        <stp>chg PCt 1yr</stp>
        <stp>[Macro RPRR.xlsx]monitor!R54C18</stp>
        <tr r="R54" s="10"/>
      </tp>
      <tp>
        <v>5.8279740000000002</v>
        <stp/>
        <stp>##V3_BDPV12</stp>
        <stp>SX7E index</stp>
        <stp>chg PCt 1yr</stp>
        <stp>[Macro RPRR.xlsx]monitor!R37C18</stp>
        <tr r="R37" s="10"/>
      </tp>
      <tp>
        <v>-11.65812</v>
        <stp/>
        <stp>##V3_BDPV12</stp>
        <stp>SXAE index</stp>
        <stp>chg PCt 1yr</stp>
        <stp>[Macro RPRR.xlsx]monitor!R38C18</stp>
        <tr r="R38" s="10"/>
      </tp>
      <tp>
        <v>15.04508</v>
        <stp/>
        <stp>##V3_BDPV12</stp>
        <stp>SXEE index</stp>
        <stp>chg PCt 1yr</stp>
        <stp>[Macro RPRR.xlsx]monitor!R39C18</stp>
        <tr r="R39" s="10"/>
      </tp>
      <tp t="s">
        <v>ISHARES CORE S&amp;P 500 ETF</v>
        <stp/>
        <stp>##V3_BDPV12</stp>
        <stp>IVV EQUITY</stp>
        <stp>Name</stp>
        <stp>[Macro RPRR.xlsx]flows!R3C3</stp>
        <tr r="C3" s="12"/>
      </tp>
      <tp>
        <v>81.78</v>
        <stp/>
        <stp>##V3_BDPV12</stp>
        <stp>IEMG EQUITY</stp>
        <stp>MF_tot_1M</stp>
        <stp>[Macro RPRR.xlsx]flows!R34C11</stp>
        <tr r="K34" s="12"/>
      </tp>
      <tp>
        <v>9.59</v>
        <stp/>
        <stp>##V3_BDPV12</stp>
        <stp>ehbbus index</stp>
        <stp>CHG neT 1yr</stp>
        <stp>[Macro RPRR.xlsx]eco data!R6C7</stp>
        <tr r="G6" s="8"/>
        <tr r="G6" s="8"/>
      </tp>
      <tp>
        <v>2.9180999999999999</v>
        <stp/>
        <stp>##V3_BDPV12</stp>
        <stp>USGG10YR index</stp>
        <stp>last trade</stp>
        <stp>[Macro RPRR.xlsx]carry+rd!R9C5</stp>
        <tr r="E9" s="1"/>
      </tp>
      <tp>
        <v>1.7309999999999999</v>
        <stp/>
        <stp>##V3_BDPV12</stp>
        <stp>GUKG2 index</stp>
        <stp>CHG neT 1yr</stp>
        <stp>[Macro RPRR.xlsx]eco data!R51C7</stp>
        <tr r="G51" s="8"/>
        <tr r="G51" s="8"/>
      </tp>
      <tp>
        <v>-1.920507</v>
        <stp/>
        <stp>##V3_BDPV12</stp>
        <stp>SPTSX index</stp>
        <stp>chg PCt 1m</stp>
        <stp>[Macro RPRR.xlsx]monitor!R5C14</stp>
        <tr r="N5" s="10"/>
      </tp>
      <tp>
        <v>2.0468359999999999</v>
        <stp/>
        <stp>##V3_BDPV12</stp>
        <stp>SPTSX index</stp>
        <stp>chg PCt 6m</stp>
        <stp>[Macro RPRR.xlsx]monitor!R5C15</stp>
        <tr r="O5" s="10"/>
      </tp>
      <tp>
        <v>4.5</v>
        <stp/>
        <stp>##V3_BDPV12</stp>
        <stp>FRcpiyoy INDEX</stp>
        <stp>PX LAST</stp>
        <stp>[Macro RPRR.xlsx]eco data!R44C13</stp>
        <tr r="M44" s="8"/>
      </tp>
      <tp>
        <v>0.63156999999999996</v>
        <stp/>
        <stp>##V3_BDPV12</stp>
        <stp>us0001m index</stp>
        <stp>PX LAST</stp>
        <stp>[Macro RPRR.xlsx]carry+rd!R2C5</stp>
        <tr r="E2" s="1"/>
      </tp>
      <tp>
        <v>2.9922</v>
        <stp/>
        <stp>##V3_BDPV12</stp>
        <stp>USGG5YR index</stp>
        <stp>last trade</stp>
        <stp>[Macro RPRR.xlsx]carry+rd!R7C5</stp>
        <tr r="E7" s="1"/>
      </tp>
      <tp>
        <v>9.1733239999999991</v>
        <stp/>
        <stp>##V3_BDPV12</stp>
        <stp>S5matr INDEX</stp>
        <stp>chg PCt 1yr</stp>
        <stp>[Macro RPRR.xlsx]monitor!R38C8</stp>
        <tr r="H38" s="10"/>
      </tp>
      <tp>
        <v>70.831559999999996</v>
        <stp/>
        <stp>##V3_BDPV12</stp>
        <stp>S5matr INDEX</stp>
        <stp>chg PCt 5yr</stp>
        <stp>[Macro RPRR.xlsx]monitor!R38C9</stp>
        <tr r="I38" s="10"/>
      </tp>
      <tp>
        <v>-2.717549</v>
        <stp/>
        <stp>##V3_BDPV12</stp>
        <stp>SHCOMP index</stp>
        <stp>chg PCt 5yr</stp>
        <stp>[Macro RPRR.xlsx]monitor!R22C17</stp>
        <tr r="Q22" s="10"/>
      </tp>
      <tp>
        <v>2.464</v>
        <stp/>
        <stp>##V3_BDPV12</stp>
        <stp>gbtp10 index</stp>
        <stp>px last</stp>
        <stp>[Macro RPRR.xlsx]monitor!R8C3</stp>
        <tr r="C8" s="10"/>
      </tp>
      <tp>
        <v>1.9570000000000001</v>
        <stp/>
        <stp>##V3_BDPV12</stp>
        <stp>GSPT10YR index</stp>
        <stp>LAST TRADE</stp>
        <stp>[Macro RPRR.xlsx]carry+rd!R9C26</stp>
        <tr r="Z9" s="1"/>
      </tp>
      <tp>
        <v>-0.66</v>
        <stp/>
        <stp>##V3_BDPV12</stp>
        <stp>MCHI EQUITY</stp>
        <stp>MF_tot_1W</stp>
        <stp>[Macro RPRR.xlsx]flows!R35C10</stp>
        <tr r="J35" s="12"/>
      </tp>
      <tp>
        <v>1.9039999999999999</v>
        <stp/>
        <stp>##V3_BDPV12</stp>
        <stp>GSPG10YR index</stp>
        <stp>LAST TRADE</stp>
        <stp>[Macro RPRR.xlsx]carry+rd!R9C23</stp>
        <tr r="W9" s="1"/>
      </tp>
      <tp>
        <v>-189.8612</v>
        <stp/>
        <stp>##V3_BDPV12</stp>
        <stp>TIP EQUITY</stp>
        <stp>MF_tot_1D</stp>
        <stp>[Macro RPRR.xlsx]flows!R11C9</stp>
        <tr r="I11" s="12"/>
      </tp>
      <tp>
        <v>0.94</v>
        <stp/>
        <stp>##V3_BDPV12</stp>
        <stp>ehcaes INDEX</stp>
        <stp>PX LAST</stp>
        <stp>[Macro RPRR.xlsx]eco data!R21C13</stp>
        <tr r="M21" s="8"/>
      </tp>
      <tp>
        <v>2.4500000000000002</v>
        <stp/>
        <stp>##V3_BDPV12</stp>
        <stp>ehcait INDEX</stp>
        <stp>PX LAST</stp>
        <stp>[Macro RPRR.xlsx]eco data!R34C13</stp>
        <tr r="M34" s="8"/>
      </tp>
      <tp>
        <v>-0.76</v>
        <stp/>
        <stp>##V3_BDPV12</stp>
        <stp>ehcaFR INDEX</stp>
        <stp>PX LAST</stp>
        <stp>[Macro RPRR.xlsx]eco data!R47C13</stp>
        <tr r="M47" s="8"/>
      </tp>
      <tp>
        <v>6.77</v>
        <stp/>
        <stp>##V3_BDPV12</stp>
        <stp>ehcaru INDEX</stp>
        <stp>PX LAST</stp>
        <stp>[Macro RPRR.xlsx]eco data!R34C22</stp>
        <tr r="V34" s="8"/>
      </tp>
      <tp>
        <v>1.77</v>
        <stp/>
        <stp>##V3_BDPV12</stp>
        <stp>ehcacn INDEX</stp>
        <stp>PX LAST</stp>
        <stp>[Macro RPRR.xlsx]eco data!R21C22</stp>
        <tr r="V21" s="8"/>
      </tp>
      <tp>
        <v>-79.05</v>
        <stp/>
        <stp>##V3_BDPV12</stp>
        <stp>SLV EQUITY</stp>
        <stp>MF_tot_1M</stp>
        <stp>[Macro RPRR.xlsx]flows!R18C11</stp>
        <tr r="K18" s="12"/>
      </tp>
      <tp>
        <v>0</v>
        <stp/>
        <stp>##V3_BDPV12</stp>
        <stp>RSX EQUITY</stp>
        <stp>MF_tot_1M</stp>
        <stp>[Macro RPRR.xlsx]flows!R37C11</stp>
        <tr r="K37" s="12"/>
      </tp>
      <tp>
        <v>-450.37</v>
        <stp/>
        <stp>##V3_BDPV12</stp>
        <stp>VWO EQUITY</stp>
        <stp>MF_tot_1M</stp>
        <stp>[Macro RPRR.xlsx]flows!R33C11</stp>
        <tr r="K33" s="12"/>
      </tp>
      <tp>
        <v>-134.77000000000001</v>
        <stp/>
        <stp>##V3_BDPV12</stp>
        <stp>USO EQUITY</stp>
        <stp>MF_tot_1M</stp>
        <stp>[Macro RPRR.xlsx]flows!R17C11</stp>
        <tr r="K17" s="12"/>
      </tp>
      <tp>
        <v>-657.45</v>
        <stp/>
        <stp>##V3_BDPV12</stp>
        <stp>TIP EQUITY</stp>
        <stp>MF_tot_1M</stp>
        <stp>[Macro RPRR.xlsx]flows!R11C11</stp>
        <tr r="K11" s="12"/>
      </tp>
      <tp>
        <v>-371.16</v>
        <stp/>
        <stp>##V3_BDPV12</stp>
        <stp>IEF EQUITY</stp>
        <stp>MF_tot_1M</stp>
        <stp>[Macro RPRR.xlsx]flows!R13C11</stp>
        <tr r="K13" s="12"/>
      </tp>
      <tp>
        <v>-619.95000000000005</v>
        <stp/>
        <stp>##V3_BDPV12</stp>
        <stp>IEI EQUITY</stp>
        <stp>MF_tot_1M</stp>
        <stp>[Macro RPRR.xlsx]flows!R12C11</stp>
        <tr r="K12" s="12"/>
      </tp>
      <tp>
        <v>39.479999999999997</v>
        <stp/>
        <stp>##V3_BDPV12</stp>
        <stp>IAU EQUITY</stp>
        <stp>MF_tot_1M</stp>
        <stp>[Macro RPRR.xlsx]flows!R16C11</stp>
        <tr r="K16" s="12"/>
      </tp>
      <tp>
        <v>174.02</v>
        <stp/>
        <stp>##V3_BDPV12</stp>
        <stp>LQD EQUITY</stp>
        <stp>MF_tot_1M</stp>
        <stp>[Macro RPRR.xlsx]flows!R10C11</stp>
        <tr r="K10" s="12"/>
      </tp>
      <tp>
        <v>-13.578939999999999</v>
        <stp/>
        <stp>##V3_BDPV12</stp>
        <stp>SXAE index</stp>
        <stp>chg PCt 6m</stp>
        <stp>[Macro RPRR.xlsx]monitor!R38C17</stp>
        <tr r="Q38" s="10"/>
      </tp>
      <tp>
        <v>497.08</v>
        <stp/>
        <stp>##V3_BDPV12</stp>
        <stp>GLD EQUITY</stp>
        <stp>MF_tot_1M</stp>
        <stp>[Macro RPRR.xlsx]flows!R15C11</stp>
        <tr r="K15" s="12"/>
      </tp>
      <tp>
        <v>7.8</v>
        <stp/>
        <stp>##V3_BDPV12</stp>
        <stp>EWZ EQUITY</stp>
        <stp>MF_tot_1M</stp>
        <stp>[Macro RPRR.xlsx]flows!R36C11</stp>
        <tr r="K36" s="12"/>
      </tp>
      <tp>
        <v>55.75</v>
        <stp/>
        <stp>##V3_BDPV12</stp>
        <stp>DBA EQUITY</stp>
        <stp>MF_tot_1M</stp>
        <stp>[Macro RPRR.xlsx]flows!R19C11</stp>
        <tr r="K19" s="12"/>
      </tp>
      <tp>
        <v>-1.7188639999999999</v>
        <stp/>
        <stp>##V3_BDPV12</stp>
        <stp>SXAE index</stp>
        <stp>chg PCt 1m</stp>
        <stp>[Macro RPRR.xlsx]monitor!R38C16</stp>
        <tr r="P38" s="10"/>
      </tp>
      <tp>
        <v>94.881</v>
        <stp/>
        <stp>##V3_BDPV12</stp>
        <stp>EOitU006 INDEX</stp>
        <stp>PX LAST</stp>
        <stp>[Macro RPRR.xlsx]EU countries!R9C21</stp>
        <tr r="U9" s="11"/>
      </tp>
      <tp>
        <v>7.7675999999999998</v>
        <stp/>
        <stp>##V3_BDPV12</stp>
        <stp>USDEUR curncy</stp>
        <stp>chg PCt 6m</stp>
        <stp>[Macro RPRR.xlsx]monitor!R72C16</stp>
        <tr r="P72" s="10"/>
      </tp>
      <tp>
        <v>2.0737000000000001</v>
        <stp/>
        <stp>##V3_BDPV12</stp>
        <stp>USDEUR curncy</stp>
        <stp>chg PCt 1m</stp>
        <stp>[Macro RPRR.xlsx]monitor!R72C15</stp>
        <tr r="O72" s="10"/>
      </tp>
      <tp>
        <v>2.9219520000000001</v>
        <stp/>
        <stp>##V3_BDPV12</stp>
        <stp>GT10 Govt</stp>
        <stp>bid yield</stp>
        <stp>[Macro RPRR.xlsx]eco data!R13C4</stp>
        <tr r="D13" s="8"/>
      </tp>
      <tp>
        <v>-1.01</v>
        <stp/>
        <stp>##V3_BDPV12</stp>
        <stp>ehbbru INDEX</stp>
        <stp>PX LAST</stp>
        <stp>[Macro RPRR.xlsx]eco data!R33C22</stp>
        <tr r="V33" s="8"/>
      </tp>
      <tp>
        <v>0.87280000000000002</v>
        <stp/>
        <stp>##V3_BDPV12</stp>
        <stp>bp0001m index</stp>
        <stp>PX LAST</stp>
        <stp>[Macro RPRR.xlsx]carry+rd!R2C8</stp>
        <tr r="H2" s="1"/>
      </tp>
      <tp>
        <v>0.108</v>
        <stp/>
        <stp>##V3_BDPV12</stp>
        <stp>GUKG10 index</stp>
        <stp>CHG neT 5d</stp>
        <stp>[Macro RPRR.xlsx]eco data!R52C5</stp>
        <tr r="E52" s="8"/>
      </tp>
      <tp>
        <v>0.28899999999999998</v>
        <stp/>
        <stp>##V3_BDPV12</stp>
        <stp>GUKG10 index</stp>
        <stp>CHG neT 1m</stp>
        <stp>[Macro RPRR.xlsx]eco data!R52C6</stp>
        <tr r="F52" s="8"/>
      </tp>
      <tp>
        <v>-0.65123239622744789</v>
        <stp/>
        <stp>##V3_BDPV12</stp>
        <stp>gtfrf3m govt</stp>
        <stp>yld ytm mid</stp>
        <stp>[Macro RPRR.xlsx]eco data!R49C13</stp>
        <tr r="M49" s="8"/>
      </tp>
      <tp t="s">
        <v>#N/A N/A</v>
        <stp/>
        <stp>##V3_BDPV12</stp>
        <stp>MXRU index</stp>
        <stp>best pe ratio</stp>
        <stp>[Macro RPRR.xlsx]eco data!R41C22</stp>
        <tr r="V41" s="8"/>
      </tp>
      <tp>
        <v>-1.3169409999999999</v>
        <stp/>
        <stp>##V3_BDPV12</stp>
        <stp>IAU EQUITY</stp>
        <stp>MF_tot_1D</stp>
        <stp>[Macro RPRR.xlsx]flows!R16C9</stp>
        <tr r="I16" s="12"/>
      </tp>
      <tp>
        <v>14.348097781555317</v>
        <stp/>
        <stp>##V3_BDPV12</stp>
        <stp>sml index</stp>
        <stp>best pe ratio</stp>
        <stp>[Macro RPRR.xlsx]monitor!R79C3</stp>
        <tr r="C79" s="10"/>
      </tp>
      <tp t="s">
        <v>SPDR S&amp;P 500 ETF TRUST</v>
        <stp/>
        <stp>##V3_BDPV12</stp>
        <stp>SPY EQUITY</stp>
        <stp>Name</stp>
        <stp>[Macro RPRR.xlsx]flows!R2C3</stp>
        <tr r="C2" s="12"/>
      </tp>
      <tp>
        <v>2.7302</v>
        <stp/>
        <stp>##V3_BDPV12</stp>
        <stp>USGG2YR index</stp>
        <stp>last trade</stp>
        <stp>[Macro RPRR.xlsx]carry+rd!R4C5</stp>
        <tr r="E4" s="1"/>
      </tp>
      <tp>
        <v>2.9232</v>
        <stp/>
        <stp>##V3_BDPV12</stp>
        <stp>USGG3YR index</stp>
        <stp>last trade</stp>
        <stp>[Macro RPRR.xlsx]carry+rd!R5C5</stp>
        <tr r="E5" s="1"/>
      </tp>
      <tp t="s">
        <v>Consumer Discretionary</v>
        <stp/>
        <stp>##V3_BDPV12</stp>
        <stp>KGF LN Equity</stp>
        <stp>gics sector name</stp>
        <stp>[Macro RPRR.xlsx]monitor!R9C33</stp>
        <tr r="AG9" s="10"/>
      </tp>
      <tp>
        <v>6.5</v>
        <stp/>
        <stp>##V3_BDPV12</stp>
        <stp>MXonbr INDEX</stp>
        <stp>px last</stp>
        <stp>[Macro RPRR.xlsx]monitor!R89C14</stp>
        <tr r="N89" s="10"/>
      </tp>
      <tp>
        <v>19.625625298573016</v>
        <stp/>
        <stp>##V3_BDPV12</stp>
        <stp>oex index</stp>
        <stp>best pe ratio</stp>
        <stp>[Macro RPRR.xlsx]monitor!R78C3</stp>
        <tr r="C78" s="10"/>
      </tp>
      <tp t="s">
        <v>#N/A N/A</v>
        <stp/>
        <stp>##V3_BDPV12</stp>
        <stp>ehcade index</stp>
        <stp>CHG neT 5d</stp>
        <stp>[Macro RPRR.xlsx]eco data!R7C23</stp>
        <tr r="W7" s="8"/>
      </tp>
      <tp t="s">
        <v>#N/A N/A</v>
        <stp/>
        <stp>##V3_BDPV12</stp>
        <stp>ehupde index</stp>
        <stp>CHG neT 5d</stp>
        <stp>[Macro RPRR.xlsx]eco data!R8C23</stp>
        <tr r="W8" s="8"/>
      </tp>
      <tp t="s">
        <v>#N/A N/A</v>
        <stp/>
        <stp>##V3_BDPV12</stp>
        <stp>ehcade index</stp>
        <stp>CHG neT 1m</stp>
        <stp>[Macro RPRR.xlsx]eco data!R7C24</stp>
        <tr r="X7" s="8"/>
      </tp>
      <tp t="s">
        <v>#N/A N/A</v>
        <stp/>
        <stp>##V3_BDPV12</stp>
        <stp>ehupde index</stp>
        <stp>CHG neT 1m</stp>
        <stp>[Macro RPRR.xlsx]eco data!R8C24</stp>
        <tr r="X8" s="8"/>
      </tp>
      <tp>
        <v>-10.91436</v>
        <stp/>
        <stp>##V3_BDPV12</stp>
        <stp>SHCOMP index</stp>
        <stp>chg PCt 1yr</stp>
        <stp>[Macro RPRR.xlsx]monitor!R22C16</stp>
        <tr r="P22" s="10"/>
      </tp>
      <tp t="s">
        <v>VANGUARD FTSE DEVELOPED ETF</v>
        <stp/>
        <stp>##V3_BDPV12</stp>
        <stp>VEA EQUITY</stp>
        <stp>Name</stp>
        <stp>[Macro RPRR.xlsx]flows!R6C3</stp>
        <tr r="C6" s="12"/>
      </tp>
      <tp t="s">
        <v>Industrials</v>
        <stp/>
        <stp>##V3_BDPV12</stp>
        <stp>IAG LN Equity</stp>
        <stp>gics sector name</stp>
        <stp>[Macro RPRR.xlsx]monitor!R3C33</stp>
        <tr r="AG3" s="10"/>
      </tp>
      <tp>
        <v>3.85</v>
        <stp/>
        <stp>##V3_BDPV12</stp>
        <stp>IEMG EQUITY</stp>
        <stp>MF_tot_1W</stp>
        <stp>[Macro RPRR.xlsx]flows!R34C10</stp>
        <tr r="J34" s="12"/>
      </tp>
      <tp>
        <v>-6.9194699999999996</v>
        <stp/>
        <stp>##V3_BDPV12</stp>
        <stp>SXFE index</stp>
        <stp>chg PCt 6m</stp>
        <stp>[Macro RPRR.xlsx]monitor!R47C17</stp>
        <tr r="Q47" s="10"/>
      </tp>
      <tp>
        <v>-2.5497010000000002</v>
        <stp/>
        <stp>##V3_BDPV12</stp>
        <stp>SXFE index</stp>
        <stp>chg PCt 1m</stp>
        <stp>[Macro RPRR.xlsx]monitor!R47C16</stp>
        <tr r="P47" s="10"/>
      </tp>
      <tp>
        <v>94.844999999999999</v>
        <stp/>
        <stp>##V3_BDPV12</stp>
        <stp>EOfrU007 INDEX</stp>
        <stp>PX LAST</stp>
        <stp>[Macro RPRR.xlsx]EU countries!R8C21</stp>
        <tr r="U8" s="11"/>
      </tp>
      <tp>
        <v>3.31</v>
        <stp/>
        <stp>##V3_BDPV12</stp>
        <stp>gvsk10y index</stp>
        <stp>px last</stp>
        <stp>[Macro RPRR.xlsx]EU countries!R31C7</stp>
        <tr r="G31" s="11"/>
      </tp>
      <tp t="s">
        <v>VANGUARD S&amp;P 500 ETF</v>
        <stp/>
        <stp>##V3_BDPV12</stp>
        <stp>VOO EQUITY</stp>
        <stp>Name</stp>
        <stp>[Macro RPRR.xlsx]flows!R5C3</stp>
        <tr r="C5" s="12"/>
      </tp>
      <tp>
        <v>3.5747110000000002</v>
        <stp/>
        <stp>##V3_BDPV12</stp>
        <stp>SXEE index</stp>
        <stp>chg PCt 6m</stp>
        <stp>[Macro RPRR.xlsx]monitor!R39C17</stp>
        <tr r="Q39" s="10"/>
      </tp>
      <tp>
        <v>2.9426700000000001</v>
        <stp/>
        <stp>##V3_BDPV12</stp>
        <stp>SXEE index</stp>
        <stp>chg PCt 1m</stp>
        <stp>[Macro RPRR.xlsx]monitor!R39C16</stp>
        <tr r="P39" s="10"/>
      </tp>
      <tp>
        <v>2.9336000000000002</v>
        <stp/>
        <stp>##V3_BDPV12</stp>
        <stp>usgg10yr index</stp>
        <stp>px last</stp>
        <stp>[Macro RPRR.xlsx]EU countries!R20C7</stp>
        <tr r="G20" s="11"/>
      </tp>
      <tp>
        <v>-0.54100000000000004</v>
        <stp/>
        <stp>##V3_BDPV12</stp>
        <stp>eur001m index</stp>
        <stp>PX LAST</stp>
        <stp>[Macro RPRR.xlsx]carry+rd!R2C2</stp>
        <tr r="B2" s="1"/>
      </tp>
      <tp>
        <v>1.5150000000000001</v>
        <stp/>
        <stp>##V3_BDPV12</stp>
        <stp>gspg10yr index</stp>
        <stp>CHG neT 1yr</stp>
        <stp>[Macro RPRR.xlsx]eco data!R26C16</stp>
        <tr r="P26" s="8"/>
        <tr r="P26" s="8"/>
      </tp>
      <tp>
        <v>1.5580000000000001</v>
        <stp/>
        <stp>##V3_BDPV12</stp>
        <stp>gspt10yr index</stp>
        <stp>CHG neT 1yr</stp>
        <stp>[Macro RPRR.xlsx]eco data!R13C16</stp>
        <tr r="P13" s="8"/>
        <tr r="P13" s="8"/>
      </tp>
      <tp>
        <v>1.823</v>
        <stp/>
        <stp>##V3_BDPV12</stp>
        <stp>gbtp10yr index</stp>
        <stp>CHG neT 1yr</stp>
        <stp>[Macro RPRR.xlsx]eco data!R39C16</stp>
        <tr r="P39" s="8"/>
        <tr r="P39" s="8"/>
      </tp>
      <tp t="s">
        <v>VANGUARD TOTAL STOCK MKT ETF</v>
        <stp/>
        <stp>##V3_BDPV12</stp>
        <stp>VTI EQUITY</stp>
        <stp>Name</stp>
        <stp>[Macro RPRR.xlsx]flows!R4C3</stp>
        <tr r="C4" s="12"/>
      </tp>
      <tp>
        <v>1.1639999999999999</v>
        <stp/>
        <stp>##V3_BDPV12</stp>
        <stp>gswiss10 index</stp>
        <stp>chg net 1yr</stp>
        <stp>[Macro RPRR.xlsx]monitor!R11C6</stp>
        <tr r="F11" s="10"/>
      </tp>
      <tp>
        <v>1.105</v>
        <stp/>
        <stp>##V3_BDPV12</stp>
        <stp>gswiss10 index</stp>
        <stp>chg net 5yr</stp>
        <stp>[Macro RPRR.xlsx]monitor!R11C7</stp>
        <tr r="G11" s="10"/>
      </tp>
      <tp>
        <v>6.9850770000000006E-2</v>
        <stp/>
        <stp>##V3_BDPV12</stp>
        <stp>SXDE index</stp>
        <stp>chg PCt 6m</stp>
        <stp>[Macro RPRR.xlsx]monitor!R51C17</stp>
        <tr r="Q51" s="10"/>
      </tp>
      <tp>
        <v>3.4770729999999999</v>
        <stp/>
        <stp>##V3_BDPV12</stp>
        <stp>SXDE index</stp>
        <stp>chg PCt 1m</stp>
        <stp>[Macro RPRR.xlsx]monitor!R51C16</stp>
        <tr r="P51" s="10"/>
      </tp>
      <tp>
        <v>-4.1706209999999997</v>
        <stp/>
        <stp>##V3_BDPV12</stp>
        <stp>MCHI EQUITY</stp>
        <stp>MF_tot_1D</stp>
        <stp>[Macro RPRR.xlsx]flows!R35C9</stp>
        <tr r="I35" s="12"/>
      </tp>
      <tp>
        <v>9.9729189860894287</v>
        <stp/>
        <stp>##V3_BDPV12</stp>
        <stp>SHCOMP index</stp>
        <stp>best pe ratio</stp>
        <stp>[Macro RPRR.xlsx]monitor!R22C13</stp>
        <tr r="M22" s="10"/>
      </tp>
      <tp>
        <v>-0.97</v>
        <stp/>
        <stp>##V3_BDPV12</stp>
        <stp>ehupde index</stp>
        <stp>CHG neT 1yr</stp>
        <stp>[Macro RPRR.xlsx]eco data!R8C25</stp>
        <tr r="Y8" s="8"/>
        <tr r="Y8" s="8"/>
      </tp>
      <tp>
        <v>10.885305282182014</v>
        <stp/>
        <stp>##V3_BDPV12</stp>
        <stp>KOSPI index</stp>
        <stp>best pe ratio</stp>
        <stp>[Macro RPRR.xlsx]monitor!R17C13</stp>
        <tr r="M17" s="10"/>
      </tp>
      <tp>
        <v>9</v>
        <stp/>
        <stp>##V3_BDPV12</stp>
        <stp>UKrpyoy INDEX</stp>
        <stp>PX LAST</stp>
        <stp>[Macro RPRR.xlsx]eco data!R44C4</stp>
        <tr r="D44" s="8"/>
      </tp>
      <tp>
        <v>0.42</v>
        <stp/>
        <stp>##V3_BDPV12</stp>
        <stp>ehcade index</stp>
        <stp>CHG neT 1yr</stp>
        <stp>[Macro RPRR.xlsx]eco data!R7C25</stp>
        <tr r="Y7" s="8"/>
        <tr r="Y7" s="8"/>
      </tp>
      <tp>
        <v>3.3000000000000002E-2</v>
        <stp/>
        <stp>##V3_BDPV12</stp>
        <stp>Gjgb10 index</stp>
        <stp>CHG neT 1m</stp>
        <stp>[Macro RPRR.xlsx]eco data!R39C6</stp>
        <tr r="F39" s="8"/>
      </tp>
      <tp>
        <v>8.9999999999999993E-3</v>
        <stp/>
        <stp>##V3_BDPV12</stp>
        <stp>Gjgb10 index</stp>
        <stp>CHG neT 5d</stp>
        <stp>[Macro RPRR.xlsx]eco data!R39C5</stp>
        <tr r="E39" s="8"/>
      </tp>
      <tp>
        <v>2.3050000000000002</v>
        <stp/>
        <stp>##V3_BDPV12</stp>
        <stp>shif3m INDEX</stp>
        <stp>px last</stp>
        <stp>[Macro RPRR.xlsx]eco data!R24C22</stp>
        <tr r="V24" s="8"/>
      </tp>
      <tp>
        <v>-10.02774</v>
        <stp/>
        <stp>##V3_BDPV12</stp>
        <stp>KOSPI index</stp>
        <stp>chg PCt 6m</stp>
        <stp>[Macro RPRR.xlsx]monitor!R17C15</stp>
        <tr r="O17" s="10"/>
      </tp>
      <tp>
        <v>-0.1952044</v>
        <stp/>
        <stp>##V3_BDPV12</stp>
        <stp>KOSPI index</stp>
        <stp>chg PCt 1m</stp>
        <stp>[Macro RPRR.xlsx]monitor!R17C14</stp>
        <tr r="N17" s="10"/>
      </tp>
      <tp>
        <v>4.8446350000000002</v>
        <stp/>
        <stp>##V3_BDPV12</stp>
        <stp>SXKE index</stp>
        <stp>chg PCt 6m</stp>
        <stp>[Macro RPRR.xlsx]monitor!R40C17</stp>
        <tr r="Q40" s="10"/>
      </tp>
      <tp>
        <v>5.289949</v>
        <stp/>
        <stp>##V3_BDPV12</stp>
        <stp>SXKE index</stp>
        <stp>chg PCt 1m</stp>
        <stp>[Macro RPRR.xlsx]monitor!R40C16</stp>
        <tr r="P40" s="10"/>
      </tp>
      <tp>
        <v>9.7950169999999996</v>
        <stp/>
        <stp>##V3_BDPV12</stp>
        <stp>IEMG EQUITY</stp>
        <stp>MF_tot_1D</stp>
        <stp>[Macro RPRR.xlsx]flows!R34C9</stp>
        <tr r="I34" s="12"/>
      </tp>
      <tp>
        <v>9.3015519999999992</v>
        <stp/>
        <stp>##V3_BDPV12</stp>
        <stp>SMI index</stp>
        <stp>chg PCt 1yr</stp>
        <stp>[Macro RPRR.xlsx]monitor!R11C16</stp>
        <tr r="P11" s="10"/>
      </tp>
      <tp>
        <v>2.887</v>
        <stp/>
        <stp>##V3_BDPV12</stp>
        <stp>gcan10yr index</stp>
        <stp>px last</stp>
        <stp>[Macro RPRR.xlsx]EU countries!R27C7</stp>
        <tr r="G27" s="11"/>
      </tp>
      <tp>
        <v>4.7</v>
        <stp/>
        <stp>##V3_BDPV12</stp>
        <stp>EUGNEMUy index</stp>
        <stp>px last</stp>
        <stp>[Macro RPRR.xlsx]eco data!R19C4</stp>
        <tr r="D19" s="8"/>
      </tp>
      <tp>
        <v>24.926559999999998</v>
        <stp/>
        <stp>##V3_BDPV12</stp>
        <stp>KOSPI index</stp>
        <stp>chg PCt 5yr</stp>
        <stp>[Macro RPRR.xlsx]monitor!R17C17</stp>
        <tr r="Q17" s="10"/>
      </tp>
      <tp>
        <v>79.332920000000001</v>
        <stp/>
        <stp>##V3_BDPV12</stp>
        <stp>IBOV index</stp>
        <stp>chg PCt 5yr</stp>
        <stp>[Macro RPRR.xlsx]monitor!R20C17</stp>
        <tr r="Q20" s="10"/>
      </tp>
      <tp>
        <v>0.25</v>
        <stp/>
        <stp>##V3_BDPV12</stp>
        <stp>gjgb10 index</stp>
        <stp>px last</stp>
        <stp>[Macro RPRR.xlsx]EU countries!R21C7</stp>
        <tr r="G21" s="11"/>
      </tp>
      <tp>
        <v>23.108519695166251</v>
        <stp/>
        <stp>##V3_BDPV12</stp>
        <stp>sgx index</stp>
        <stp>best pe ratio</stp>
        <stp>[Macro RPRR.xlsx]monitor!R77C3</stp>
        <tr r="C77" s="10"/>
      </tp>
      <tp>
        <v>12.75228131613799</v>
        <stp/>
        <stp>##V3_BDPV12</stp>
        <stp>SX5E index</stp>
        <stp>best pe ratio</stp>
        <stp>[Macro RPRR.xlsx]monitor!R73C3</stp>
        <tr r="C73" s="10"/>
      </tp>
      <tp>
        <v>5.03</v>
        <stp/>
        <stp>##V3_BDPV12</stp>
        <stp>ehupde index</stp>
        <stp>px last</stp>
        <stp>[Macro RPRR.xlsx]eco data!R8C22</stp>
        <tr r="V8" s="8"/>
      </tp>
      <tp>
        <v>1.146488</v>
        <stp/>
        <stp>##V3_BDPV12</stp>
        <stp>UKX INDEX</stp>
        <stp>CHG PCT 1M</stp>
        <stp>[Macro RPRR.xlsx]eco data!R54C6</stp>
        <tr r="F54" s="8"/>
      </tp>
      <tp>
        <v>-0.24218819999999999</v>
        <stp/>
        <stp>##V3_BDPV12</stp>
        <stp>UKX INDEX</stp>
        <stp>CHG PCT 5d</stp>
        <stp>[Macro RPRR.xlsx]eco data!R54C5</stp>
        <tr r="E54" s="8"/>
      </tp>
      <tp>
        <v>6.2376899999999997</v>
        <stp/>
        <stp>##V3_BDPV12</stp>
        <stp>SXIE index</stp>
        <stp>chg PCt 6m</stp>
        <stp>[Macro RPRR.xlsx]monitor!R50C17</stp>
        <tr r="Q50" s="10"/>
      </tp>
      <tp>
        <v>2.4775499999999999</v>
        <stp/>
        <stp>##V3_BDPV12</stp>
        <stp>SXIE index</stp>
        <stp>chg PCt 1m</stp>
        <stp>[Macro RPRR.xlsx]monitor!R50C16</stp>
        <tr r="P50" s="10"/>
      </tp>
      <tp t="s">
        <v>#N/A N/A</v>
        <stp/>
        <stp>##V3_BDPV12</stp>
        <stp>EUbdsp index</stp>
        <stp>CHG neT 5d</stp>
        <stp>[Macro RPRR.xlsx]eco data!R20C14</stp>
        <tr r="N20" s="8"/>
      </tp>
      <tp t="s">
        <v>#N/A N/A</v>
        <stp/>
        <stp>##V3_BDPV12</stp>
        <stp>EUbdsp index</stp>
        <stp>CHG neT 5d</stp>
        <stp>[Macro RPRR.xlsx]eco data!R33C14</stp>
        <tr r="N33" s="8"/>
      </tp>
      <tp t="s">
        <v>#N/A N/A</v>
        <stp/>
        <stp>##V3_BDPV12</stp>
        <stp>MXRU index</stp>
        <stp>chg PCt 5yr</stp>
        <stp>[Macro RPRR.xlsx]monitor!R25C17</stp>
        <tr r="Q25" s="10"/>
      </tp>
      <tp>
        <v>13.851444860828177</v>
        <stp/>
        <stp>##V3_BDPV12</stp>
        <stp>MEXBOL index</stp>
        <stp>best pe ratio</stp>
        <stp>[Macro RPRR.xlsx]monitor!R21C13</stp>
        <tr r="M21" s="10"/>
      </tp>
      <tp>
        <v>-0.17199999999999999</v>
        <stp/>
        <stp>##V3_BDPV12</stp>
        <stp>GBOTS12M index</stp>
        <stp>PX LAST</stp>
        <stp>[Macro RPRR.xlsx]carry+rd!R3C20</stp>
        <tr r="T3" s="1"/>
      </tp>
      <tp>
        <v>16.704928831251824</v>
        <stp/>
        <stp>##V3_BDPV12</stp>
        <stp>svx index</stp>
        <stp>best pe ratio</stp>
        <stp>[Macro RPRR.xlsx]monitor!R76C3</stp>
        <tr r="C76" s="10"/>
      </tp>
      <tp>
        <v>0.55110000000000003</v>
        <stp/>
        <stp>##V3_BDPV12</stp>
        <stp>usgg10yr index</stp>
        <stp>chg net 1m</stp>
        <stp>[Macro RPRR.xlsx]monitor!R4C4</stp>
        <tr r="D4" s="10"/>
      </tp>
      <tp>
        <v>1.3012000000000001</v>
        <stp/>
        <stp>##V3_BDPV12</stp>
        <stp>usgg10yr index</stp>
        <stp>chg net 6m</stp>
        <stp>[Macro RPRR.xlsx]monitor!R4C5</stp>
        <tr r="E4" s="10"/>
      </tp>
      <tp>
        <v>0.34999849999999999</v>
        <stp/>
        <stp>##V3_BDPV12</stp>
        <stp>gsusfci index</stp>
        <stp>chg net 1m</stp>
        <stp>[Macro RPRR.xlsx]rprr!R9C2</stp>
        <tr r="B9" s="4"/>
      </tp>
      <tp>
        <v>0.69899999999999995</v>
        <stp/>
        <stp>##V3_BDPV12</stp>
        <stp>UKGTB3M INDEX</stp>
        <stp>PX LAST</stp>
        <stp>[Macro RPRR.xlsx]eco data!R49C4</stp>
        <tr r="D49" s="8"/>
      </tp>
      <tp>
        <v>6.1342939999999997</v>
        <stp/>
        <stp>##V3_BDPV12</stp>
        <stp>IBOV index</stp>
        <stp>chg PCt 6m</stp>
        <stp>[Macro RPRR.xlsx]monitor!R20C15</stp>
        <tr r="O20" s="10"/>
      </tp>
      <tp>
        <v>-1.5588880000000001</v>
        <stp/>
        <stp>##V3_BDPV12</stp>
        <stp>IBOV index</stp>
        <stp>chg PCt 1m</stp>
        <stp>[Macro RPRR.xlsx]monitor!R20C14</stp>
        <tr r="N20" s="10"/>
      </tp>
      <tp>
        <v>-0.64617104471142994</v>
        <stp/>
        <stp>##V3_BDPV12</stp>
        <stp>gtitl3m govt</stp>
        <stp>yld ytm mid</stp>
        <stp>[Macro RPRR.xlsx]eco data!R36C13</stp>
        <tr r="M36" s="8"/>
      </tp>
      <tp>
        <v>-3.7635329999999998</v>
        <stp/>
        <stp>##V3_BDPV12</stp>
        <stp>SXOE index</stp>
        <stp>chg PCt 6m</stp>
        <stp>[Macro RPRR.xlsx]monitor!R46C17</stp>
        <tr r="Q46" s="10"/>
      </tp>
      <tp>
        <v>-0.82903059999999995</v>
        <stp/>
        <stp>##V3_BDPV12</stp>
        <stp>NIFTY index</stp>
        <stp>chg PCt 1m</stp>
        <stp>[Macro RPRR.xlsx]monitor!R23C14</stp>
        <tr r="N23" s="10"/>
      </tp>
      <tp>
        <v>-5.2053900000000004</v>
        <stp/>
        <stp>##V3_BDPV12</stp>
        <stp>NIFTY index</stp>
        <stp>chg PCt 6m</stp>
        <stp>[Macro RPRR.xlsx]monitor!R23C15</stp>
        <tr r="O23" s="10"/>
      </tp>
      <tp>
        <v>-2.160711</v>
        <stp/>
        <stp>##V3_BDPV12</stp>
        <stp>SXOE index</stp>
        <stp>chg PCt 1m</stp>
        <stp>[Macro RPRR.xlsx]monitor!R46C16</stp>
        <tr r="P46" s="10"/>
      </tp>
      <tp>
        <v>43.430019999999999</v>
        <stp/>
        <stp>##V3_BDPV12</stp>
        <stp>SMI index</stp>
        <stp>chg PCt 5yr</stp>
        <stp>[Macro RPRR.xlsx]monitor!R11C17</stp>
        <tr r="Q11" s="10"/>
      </tp>
      <tp>
        <v>61.529690000000002</v>
        <stp/>
        <stp>##V3_BDPV12</stp>
        <stp>EWZ EQUITY</stp>
        <stp>MF_tot_1D</stp>
        <stp>[Macro RPRR.xlsx]flows!R36C9</stp>
        <tr r="I36" s="12"/>
      </tp>
      <tp>
        <v>0.14876919999999999</v>
        <stp/>
        <stp>##V3_BDPV12</stp>
        <stp>EWI US EQUITY</stp>
        <stp>MF_tot_1D</stp>
        <stp>[Macro RPRR.xlsx]flows!R25C9</stp>
        <tr r="I25" s="12"/>
      </tp>
      <tp>
        <v>2.9904000000000002</v>
        <stp/>
        <stp>##V3_BDPV12</stp>
        <stp>USGG7YR index</stp>
        <stp>last trade</stp>
        <stp>[Macro RPRR.xlsx]carry+rd!R8C5</stp>
        <tr r="E8" s="1"/>
      </tp>
      <tp>
        <v>-2.0129000000000001</v>
        <stp/>
        <stp>##V3_BDPV12</stp>
        <stp>EUR curncy</stp>
        <stp>chg PCt 1m</stp>
        <stp>[Macro RPRR.xlsx]monitor!R92C15</stp>
        <tr r="O92" s="10"/>
      </tp>
      <tp>
        <v>-2.0129000000000001</v>
        <stp/>
        <stp>##V3_BDPV12</stp>
        <stp>EUR curncy</stp>
        <stp>chg PCt 1m</stp>
        <stp>[Macro RPRR.xlsx]monitor!R76C15</stp>
        <tr r="O76" s="10"/>
      </tp>
      <tp>
        <v>-2.0129000000000001</v>
        <stp/>
        <stp>##V3_BDPV12</stp>
        <stp>EUR curncy</stp>
        <stp>chg PCt 1m</stp>
        <stp>[Macro RPRR.xlsx]monitor!R77C15</stp>
        <tr r="O77" s="10"/>
      </tp>
      <tp>
        <v>-2.0129000000000001</v>
        <stp/>
        <stp>##V3_BDPV12</stp>
        <stp>EUR curncy</stp>
        <stp>chg PCt 1m</stp>
        <stp>[Macro RPRR.xlsx]monitor!R74C15</stp>
        <tr r="O74" s="10"/>
      </tp>
      <tp>
        <v>-2.0129000000000001</v>
        <stp/>
        <stp>##V3_BDPV12</stp>
        <stp>EUR curncy</stp>
        <stp>chg PCt 1m</stp>
        <stp>[Macro RPRR.xlsx]monitor!R75C15</stp>
        <tr r="O75" s="10"/>
      </tp>
      <tp>
        <v>-2.0129000000000001</v>
        <stp/>
        <stp>##V3_BDPV12</stp>
        <stp>EUR curncy</stp>
        <stp>chg PCt 1m</stp>
        <stp>[Macro RPRR.xlsx]monitor!R78C15</stp>
        <tr r="O78" s="10"/>
      </tp>
      <tp>
        <v>-7.1802999999999999</v>
        <stp/>
        <stp>##V3_BDPV12</stp>
        <stp>EUR curncy</stp>
        <stp>chg PCt 6m</stp>
        <stp>[Macro RPRR.xlsx]monitor!R92C16</stp>
        <tr r="P92" s="10"/>
      </tp>
      <tp>
        <v>-7.1802999999999999</v>
        <stp/>
        <stp>##V3_BDPV12</stp>
        <stp>EUR curncy</stp>
        <stp>chg PCt 6m</stp>
        <stp>[Macro RPRR.xlsx]monitor!R76C16</stp>
        <tr r="P76" s="10"/>
      </tp>
      <tp>
        <v>-7.1802999999999999</v>
        <stp/>
        <stp>##V3_BDPV12</stp>
        <stp>EUR curncy</stp>
        <stp>chg PCt 6m</stp>
        <stp>[Macro RPRR.xlsx]monitor!R77C16</stp>
        <tr r="P77" s="10"/>
      </tp>
      <tp>
        <v>-7.1802999999999999</v>
        <stp/>
        <stp>##V3_BDPV12</stp>
        <stp>EUR curncy</stp>
        <stp>chg PCt 6m</stp>
        <stp>[Macro RPRR.xlsx]monitor!R74C16</stp>
        <tr r="P74" s="10"/>
      </tp>
      <tp>
        <v>-7.1802999999999999</v>
        <stp/>
        <stp>##V3_BDPV12</stp>
        <stp>EUR curncy</stp>
        <stp>chg PCt 6m</stp>
        <stp>[Macro RPRR.xlsx]monitor!R75C16</stp>
        <tr r="P75" s="10"/>
      </tp>
      <tp>
        <v>-7.1802999999999999</v>
        <stp/>
        <stp>##V3_BDPV12</stp>
        <stp>EUR curncy</stp>
        <stp>chg PCt 6m</stp>
        <stp>[Macro RPRR.xlsx]monitor!R78C16</stp>
        <tr r="P78" s="10"/>
      </tp>
      <tp>
        <v>0.94599999999999995</v>
        <stp/>
        <stp>##V3_BDPV12</stp>
        <stp>gdbr10 index</stp>
        <stp>px last</stp>
        <stp>[Macro RPRR.xlsx]monitor!R6C3</stp>
        <tr r="C6" s="10"/>
      </tp>
      <tp>
        <v>-11.077030000000001</v>
        <stp/>
        <stp>##V3_BDPV12</stp>
        <stp>SXNE index</stp>
        <stp>chg PCt 6m</stp>
        <stp>[Macro RPRR.xlsx]monitor!R49C17</stp>
        <tr r="Q49" s="10"/>
      </tp>
      <tp>
        <v>-4.7580200000000001</v>
        <stp/>
        <stp>##V3_BDPV12</stp>
        <stp>SXNE index</stp>
        <stp>chg PCt 1m</stp>
        <stp>[Macro RPRR.xlsx]monitor!R49C16</stp>
        <tr r="P49" s="10"/>
      </tp>
      <tp>
        <v>-14.87984</v>
        <stp/>
        <stp>##V3_BDPV12</stp>
        <stp>KOSPI index</stp>
        <stp>chg PCt 1yr</stp>
        <stp>[Macro RPRR.xlsx]monitor!R17C16</stp>
        <tr r="P17" s="10"/>
      </tp>
      <tp>
        <v>-4.7627220000000001</v>
        <stp/>
        <stp>##V3_BDPV12</stp>
        <stp>IBOV index</stp>
        <stp>chg PCt 1yr</stp>
        <stp>[Macro RPRR.xlsx]monitor!R20C16</stp>
        <tr r="P20" s="10"/>
      </tp>
      <tp>
        <v>57.6629</v>
        <stp/>
        <stp>##V3_BDPV12</stp>
        <stp>S5rlst INDEX</stp>
        <stp>chg PCt 5yr</stp>
        <stp>[Macro RPRR.xlsx]monitor!R40C9</stp>
        <tr r="I40" s="10"/>
      </tp>
      <tp>
        <v>-3.8432620000000002</v>
        <stp/>
        <stp>##V3_BDPV12</stp>
        <stp>oex index</stp>
        <stp>chg PCt 6m</stp>
        <stp>[Macro RPRR.xlsx]monitor!R78C5</stp>
        <tr r="E78" s="10"/>
      </tp>
      <tp>
        <v>-3.7135630000000002</v>
        <stp/>
        <stp>##V3_BDPV12</stp>
        <stp>oex index</stp>
        <stp>chg PCt 1m</stp>
        <stp>[Macro RPRR.xlsx]monitor!R78C4</stp>
        <tr r="D78" s="10"/>
      </tp>
      <tp>
        <v>67.224140000000006</v>
        <stp/>
        <stp>##V3_BDPV12</stp>
        <stp>S5enrs INDEX</stp>
        <stp>chg PCt 1yr</stp>
        <stp>[Macro RPRR.xlsx]monitor!R41C8</stp>
        <tr r="H41" s="10"/>
      </tp>
      <tp>
        <v>19.778649999999999</v>
        <stp/>
        <stp>##V3_BDPV12</stp>
        <stp>S5rlst INDEX</stp>
        <stp>chg PCt 1yr</stp>
        <stp>[Macro RPRR.xlsx]monitor!R40C8</stp>
        <tr r="H40" s="10"/>
      </tp>
      <tp>
        <v>19.220120000000001</v>
        <stp/>
        <stp>##V3_BDPV12</stp>
        <stp>S5enrs INDEX</stp>
        <stp>chg PCt 5yr</stp>
        <stp>[Macro RPRR.xlsx]monitor!R41C9</stp>
        <tr r="I41" s="10"/>
      </tp>
      <tp t="s">
        <v>Consumer Discretionary</v>
        <stp/>
        <stp>##V3_BDPV12</stp>
        <stp>FLTR LN Equity</stp>
        <stp>gics sector name</stp>
        <stp>[Macro RPRR.xlsx]monitor!R6C33</stp>
        <tr r="AG6" s="10"/>
      </tp>
      <tp>
        <v>16.239999999999998</v>
        <stp/>
        <stp>##V3_BDPV12</stp>
        <stp>ruonia INDEX</stp>
        <stp>px last</stp>
        <stp>[Macro RPRR.xlsx]eco data!R37C22</stp>
        <tr r="V37" s="8"/>
      </tp>
      <tp t="s">
        <v>Industrials</v>
        <stp/>
        <stp>##V3_BDPV12</stp>
        <stp>WEIR LN Equity</stp>
        <stp>gics sector name</stp>
        <stp>[Macro RPRR.xlsx]monitor!R4C33</stp>
        <tr r="AG4" s="10"/>
      </tp>
      <tp>
        <v>-0.13514319999999999</v>
        <stp/>
        <stp>##V3_BDPV12</stp>
        <stp>SXME index</stp>
        <stp>chg PCt 6m</stp>
        <stp>[Macro RPRR.xlsx]monitor!R54C17</stp>
        <tr r="Q54" s="10"/>
      </tp>
      <tp>
        <v>1.3042309999999999</v>
        <stp/>
        <stp>##V3_BDPV12</stp>
        <stp>SXME index</stp>
        <stp>chg PCt 1m</stp>
        <stp>[Macro RPRR.xlsx]monitor!R54C16</stp>
        <tr r="P54" s="10"/>
      </tp>
      <tp t="s">
        <v>#N/A N/A</v>
        <stp/>
        <stp>##V3_BDPV12</stp>
        <stp>EUbdsp index</stp>
        <stp>CHG neT 1m</stp>
        <stp>[Macro RPRR.xlsx]eco data!R33C15</stp>
        <tr r="O33" s="8"/>
      </tp>
      <tp t="s">
        <v>#N/A N/A</v>
        <stp/>
        <stp>##V3_BDPV12</stp>
        <stp>EUbdsp index</stp>
        <stp>CHG neT 1m</stp>
        <stp>[Macro RPRR.xlsx]eco data!R20C15</stp>
        <tr r="O20" s="8"/>
      </tp>
      <tp t="s">
        <v>#N/A N/A</v>
        <stp/>
        <stp>##V3_BDPV12</stp>
        <stp>MXRU index</stp>
        <stp>chg PCt 1yr</stp>
        <stp>[Macro RPRR.xlsx]monitor!R25C16</stp>
        <tr r="P25" s="10"/>
      </tp>
      <tp>
        <v>-25.291969999999999</v>
        <stp/>
        <stp>##V3_BDPV12</stp>
        <stp>SLV EQUITY</stp>
        <stp>MF_tot_1D</stp>
        <stp>[Macro RPRR.xlsx]flows!R18C9</stp>
        <tr r="I18" s="12"/>
      </tp>
      <tp>
        <v>12.926360000000001</v>
        <stp/>
        <stp>##V3_BDPV12</stp>
        <stp>S5hlth INDEX</stp>
        <stp>chg PCt 1yr</stp>
        <stp>[Macro RPRR.xlsx]monitor!R46C8</stp>
        <tr r="H46" s="10"/>
      </tp>
      <tp>
        <v>89.785570000000007</v>
        <stp/>
        <stp>##V3_BDPV12</stp>
        <stp>S5hlth INDEX</stp>
        <stp>chg PCt 5yr</stp>
        <stp>[Macro RPRR.xlsx]monitor!R46C9</stp>
        <tr r="I46" s="10"/>
      </tp>
      <tp>
        <v>1.873</v>
        <stp/>
        <stp>##V3_BDPV12</stp>
        <stp>GCNY3M index</stp>
        <stp>PX LAST</stp>
        <stp>[Macro RPRR.xlsx]eco data!R23C22</stp>
        <tr r="V23" s="8"/>
      </tp>
      <tp>
        <v>-0.43656020000000001</v>
        <stp/>
        <stp>##V3_BDPV12</stp>
        <stp>NKY INDEX</stp>
        <stp>CHG PCT 1M</stp>
        <stp>[Macro RPRR.xlsx]eco data!R41C6</stp>
        <tr r="F41" s="8"/>
      </tp>
      <tp>
        <v>4.4551960000000002E-2</v>
        <stp/>
        <stp>##V3_BDPV12</stp>
        <stp>NKY INDEX</stp>
        <stp>CHG PCT 5d</stp>
        <stp>[Macro RPRR.xlsx]eco data!R41C5</stp>
        <tr r="E41" s="8"/>
      </tp>
      <tp>
        <v>2.6549580000000002</v>
        <stp/>
        <stp>##V3_BDPV12</stp>
        <stp>MEXBOL index</stp>
        <stp>chg PCt 6m</stp>
        <stp>[Macro RPRR.xlsx]monitor!R21C15</stp>
        <tr r="O21" s="10"/>
      </tp>
      <tp>
        <v>-4.4060709999999998</v>
        <stp/>
        <stp>##V3_BDPV12</stp>
        <stp>MEXBOL index</stp>
        <stp>chg PCt 1m</stp>
        <stp>[Macro RPRR.xlsx]monitor!R21C14</stp>
        <tr r="N21" s="10"/>
      </tp>
      <tp>
        <v>0</v>
        <stp/>
        <stp>##V3_BDPV12</stp>
        <stp>RSX EQUITY</stp>
        <stp>MF_tot_1D</stp>
        <stp>[Macro RPRR.xlsx]flows!R37C9</stp>
        <tr r="I37" s="1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9"/>
  <sheetViews>
    <sheetView showGridLines="0" tabSelected="1" workbookViewId="0">
      <selection activeCell="G13" sqref="G13"/>
    </sheetView>
  </sheetViews>
  <sheetFormatPr defaultRowHeight="15" x14ac:dyDescent="0.25"/>
  <cols>
    <col min="1" max="1" width="2.7109375" customWidth="1"/>
    <col min="2" max="2" width="15.5703125" bestFit="1" customWidth="1"/>
    <col min="3" max="3" width="10.28515625" bestFit="1" customWidth="1"/>
    <col min="4" max="4" width="14.28515625" customWidth="1"/>
    <col min="5" max="5" width="5.28515625" bestFit="1" customWidth="1"/>
    <col min="6" max="6" width="5.28515625" customWidth="1"/>
    <col min="7" max="7" width="13.42578125" customWidth="1"/>
    <col min="8" max="8" width="3.140625" customWidth="1"/>
    <col min="9" max="9" width="32.42578125" bestFit="1" customWidth="1"/>
    <col min="10" max="10" width="2.42578125" customWidth="1"/>
    <col min="11" max="11" width="19.140625" bestFit="1" customWidth="1"/>
    <col min="12" max="12" width="2.85546875" customWidth="1"/>
    <col min="13" max="13" width="37.85546875" style="11" customWidth="1"/>
    <col min="14" max="14" width="3.42578125" customWidth="1"/>
    <col min="15" max="15" width="32.140625" style="29" bestFit="1" customWidth="1"/>
  </cols>
  <sheetData>
    <row r="1" spans="2:15" s="19" customFormat="1" ht="15.75" thickBot="1" x14ac:dyDescent="0.3">
      <c r="B1" s="70">
        <v>44673</v>
      </c>
      <c r="C1" s="71"/>
      <c r="D1" s="71"/>
      <c r="E1" s="72" t="s">
        <v>11</v>
      </c>
      <c r="F1" s="71"/>
      <c r="G1" s="71"/>
      <c r="I1" s="72" t="s">
        <v>12</v>
      </c>
      <c r="K1" s="72" t="s">
        <v>13</v>
      </c>
      <c r="M1" s="72" t="s">
        <v>14</v>
      </c>
      <c r="O1" s="72" t="s">
        <v>936</v>
      </c>
    </row>
    <row r="2" spans="2:15" x14ac:dyDescent="0.25">
      <c r="D2" s="11" t="s">
        <v>910</v>
      </c>
      <c r="E2" s="11" t="s">
        <v>488</v>
      </c>
      <c r="F2" s="11" t="s">
        <v>182</v>
      </c>
      <c r="G2" s="11"/>
      <c r="H2" s="11"/>
    </row>
    <row r="3" spans="2:15" ht="1.5" customHeight="1" x14ac:dyDescent="0.25">
      <c r="B3" s="4"/>
      <c r="C3" s="4"/>
      <c r="D3" s="4"/>
      <c r="E3" s="4"/>
      <c r="F3" s="4"/>
      <c r="G3" s="5"/>
      <c r="H3" s="5"/>
      <c r="I3" s="4"/>
      <c r="J3" s="4"/>
      <c r="K3" s="4"/>
      <c r="L3" s="4"/>
      <c r="M3" s="5"/>
      <c r="N3" s="4"/>
      <c r="O3" s="81"/>
    </row>
    <row r="4" spans="2:15" x14ac:dyDescent="0.25">
      <c r="D4" s="11" t="s">
        <v>912</v>
      </c>
      <c r="E4" s="11" t="s">
        <v>911</v>
      </c>
      <c r="F4" s="11"/>
      <c r="G4" s="11"/>
      <c r="H4" s="11"/>
    </row>
    <row r="5" spans="2:15" x14ac:dyDescent="0.25">
      <c r="B5" s="19" t="s">
        <v>1</v>
      </c>
      <c r="C5" t="s">
        <v>120</v>
      </c>
      <c r="D5" s="15">
        <v>5.5</v>
      </c>
      <c r="E5" s="15">
        <v>-0.70416666666666627</v>
      </c>
      <c r="F5" s="15"/>
      <c r="G5" s="30" t="s">
        <v>1044</v>
      </c>
      <c r="H5" s="11"/>
      <c r="I5" s="20"/>
      <c r="J5" s="20"/>
      <c r="K5" s="11"/>
      <c r="L5" s="21"/>
      <c r="N5" s="21"/>
      <c r="O5" s="30"/>
    </row>
    <row r="6" spans="2:15" x14ac:dyDescent="0.25">
      <c r="B6" s="38" t="s">
        <v>381</v>
      </c>
      <c r="C6" t="s">
        <v>2</v>
      </c>
      <c r="D6" s="15">
        <v>5.9</v>
      </c>
      <c r="E6" s="15">
        <v>1.4666666666666668</v>
      </c>
      <c r="F6" s="15"/>
      <c r="G6" s="27" t="s">
        <v>996</v>
      </c>
      <c r="H6" s="11"/>
      <c r="I6" s="11"/>
      <c r="J6" s="20"/>
      <c r="K6" s="11"/>
      <c r="L6" s="21"/>
      <c r="N6" s="21"/>
      <c r="O6" s="30"/>
    </row>
    <row r="7" spans="2:15" x14ac:dyDescent="0.25">
      <c r="B7" s="41">
        <v>18.100000000000001</v>
      </c>
      <c r="C7" t="s">
        <v>154</v>
      </c>
      <c r="D7" s="74">
        <v>3.8</v>
      </c>
      <c r="E7" s="15"/>
      <c r="F7" s="15"/>
      <c r="G7" s="30" t="s">
        <v>939</v>
      </c>
      <c r="H7" s="11"/>
      <c r="I7" s="20"/>
      <c r="J7" s="20"/>
      <c r="K7" s="11"/>
      <c r="L7" s="21"/>
      <c r="N7" s="21"/>
      <c r="O7" s="30"/>
    </row>
    <row r="8" spans="2:15" x14ac:dyDescent="0.25">
      <c r="B8" s="40" t="s">
        <v>382</v>
      </c>
      <c r="C8" t="s">
        <v>171</v>
      </c>
      <c r="D8" s="45">
        <v>-7.24</v>
      </c>
      <c r="E8" s="15"/>
      <c r="F8" s="15"/>
      <c r="G8" s="30" t="s">
        <v>997</v>
      </c>
      <c r="H8" s="11"/>
      <c r="I8" s="11"/>
      <c r="J8" s="20"/>
      <c r="K8" s="11"/>
      <c r="L8" s="21"/>
      <c r="N8" s="21"/>
      <c r="O8" s="30"/>
    </row>
    <row r="9" spans="2:15" x14ac:dyDescent="0.25">
      <c r="B9" s="44">
        <v>0.34999849999999999</v>
      </c>
      <c r="C9" t="s">
        <v>119</v>
      </c>
      <c r="D9" s="43">
        <v>-3.42</v>
      </c>
      <c r="E9" s="15"/>
      <c r="F9" s="15"/>
      <c r="G9" s="30"/>
      <c r="H9" s="11"/>
      <c r="I9" s="11"/>
      <c r="J9" s="11"/>
      <c r="K9" s="11"/>
      <c r="L9" s="21"/>
      <c r="N9" s="21"/>
      <c r="O9" s="30"/>
    </row>
    <row r="10" spans="2:15" x14ac:dyDescent="0.25">
      <c r="B10" s="38" t="s">
        <v>454</v>
      </c>
      <c r="C10" t="s">
        <v>460</v>
      </c>
      <c r="D10" s="15">
        <v>1.13629</v>
      </c>
      <c r="E10" s="15">
        <v>1.0010547419804736</v>
      </c>
      <c r="F10" s="15">
        <v>0.13523525801952641</v>
      </c>
      <c r="G10" s="11" t="s">
        <v>928</v>
      </c>
      <c r="H10" s="11"/>
      <c r="I10" s="11"/>
      <c r="J10" s="11"/>
      <c r="K10" s="11"/>
      <c r="L10" s="21"/>
      <c r="N10" s="21"/>
      <c r="O10" s="30"/>
    </row>
    <row r="11" spans="2:15" x14ac:dyDescent="0.25">
      <c r="B11" s="75">
        <v>31788.666666666046</v>
      </c>
      <c r="C11" t="s">
        <v>461</v>
      </c>
      <c r="D11" s="15">
        <v>2.9375</v>
      </c>
      <c r="E11" s="15">
        <v>2.3622872594142277</v>
      </c>
      <c r="F11" s="15">
        <v>0.57521274058577232</v>
      </c>
      <c r="G11" s="11" t="s">
        <v>928</v>
      </c>
      <c r="H11" s="15"/>
      <c r="I11" s="11"/>
      <c r="J11" s="11"/>
      <c r="K11" s="11"/>
      <c r="L11" s="21"/>
      <c r="N11" s="21"/>
    </row>
    <row r="12" spans="2:15" x14ac:dyDescent="0.25">
      <c r="C12" t="s">
        <v>462</v>
      </c>
      <c r="D12" s="15">
        <v>5.1773072336047852</v>
      </c>
      <c r="E12" s="15">
        <v>6.9375</v>
      </c>
      <c r="F12" s="15">
        <v>-1.7601927663952148</v>
      </c>
      <c r="G12" s="11" t="s">
        <v>913</v>
      </c>
      <c r="H12" s="20"/>
      <c r="J12" s="11"/>
      <c r="K12" s="11"/>
      <c r="L12" s="21"/>
      <c r="M12" s="7"/>
      <c r="N12" s="21"/>
    </row>
    <row r="13" spans="2:15" x14ac:dyDescent="0.25">
      <c r="G13" s="11"/>
      <c r="H13" s="20"/>
      <c r="I13" s="11"/>
      <c r="J13" s="11"/>
      <c r="K13" s="11"/>
      <c r="L13" s="21"/>
      <c r="M13" s="20"/>
      <c r="N13" s="21"/>
    </row>
    <row r="14" spans="2:15" x14ac:dyDescent="0.25">
      <c r="I14" s="11"/>
      <c r="J14" s="11"/>
      <c r="K14" s="11"/>
    </row>
    <row r="15" spans="2:15" x14ac:dyDescent="0.25">
      <c r="B15" s="19" t="s">
        <v>3</v>
      </c>
      <c r="C15" t="s">
        <v>155</v>
      </c>
      <c r="D15" s="15">
        <v>4.7</v>
      </c>
      <c r="E15" s="33">
        <v>-2.6958333333333329</v>
      </c>
      <c r="F15" s="15"/>
      <c r="G15" s="30" t="s">
        <v>937</v>
      </c>
      <c r="H15" s="11"/>
      <c r="I15" s="11"/>
      <c r="J15" s="20"/>
      <c r="K15" s="11"/>
      <c r="L15" s="21"/>
      <c r="N15" s="21"/>
      <c r="O15" s="30"/>
    </row>
    <row r="16" spans="2:15" x14ac:dyDescent="0.25">
      <c r="B16" s="38" t="s">
        <v>381</v>
      </c>
      <c r="C16" t="s">
        <v>2</v>
      </c>
      <c r="D16" s="15">
        <v>7.4</v>
      </c>
      <c r="E16" s="15">
        <v>0.66666666666666663</v>
      </c>
      <c r="F16" s="15"/>
      <c r="G16" s="27" t="s">
        <v>938</v>
      </c>
      <c r="H16" s="11"/>
      <c r="I16" s="11"/>
      <c r="J16" s="20"/>
      <c r="L16" s="21"/>
      <c r="N16" s="21"/>
      <c r="O16" s="30"/>
    </row>
    <row r="17" spans="2:15" x14ac:dyDescent="0.25">
      <c r="B17" s="41">
        <v>-15.9</v>
      </c>
      <c r="C17" t="s">
        <v>154</v>
      </c>
      <c r="D17" s="33">
        <v>7.1</v>
      </c>
      <c r="E17" s="15"/>
      <c r="F17" s="15"/>
      <c r="G17" s="30" t="s">
        <v>939</v>
      </c>
      <c r="H17" s="11"/>
      <c r="I17" s="11"/>
      <c r="J17" s="20"/>
      <c r="K17" s="11"/>
      <c r="L17" s="21"/>
      <c r="N17" s="21"/>
      <c r="O17" s="30"/>
    </row>
    <row r="18" spans="2:15" x14ac:dyDescent="0.25">
      <c r="B18" s="40" t="s">
        <v>382</v>
      </c>
      <c r="C18" t="s">
        <v>171</v>
      </c>
      <c r="D18" s="42">
        <v>-5.1100000000000003</v>
      </c>
      <c r="E18" s="15"/>
      <c r="F18" s="15"/>
      <c r="G18" s="30" t="s">
        <v>997</v>
      </c>
      <c r="H18" s="11"/>
      <c r="I18" s="11"/>
      <c r="J18" s="20"/>
      <c r="K18" s="11"/>
      <c r="L18" s="21"/>
      <c r="N18" s="21"/>
      <c r="O18" s="30"/>
    </row>
    <row r="19" spans="2:15" x14ac:dyDescent="0.25">
      <c r="B19" s="44">
        <v>-4.0000920000000002E-2</v>
      </c>
      <c r="C19" t="s">
        <v>119</v>
      </c>
      <c r="D19" s="43">
        <v>2.59</v>
      </c>
      <c r="E19" s="15"/>
      <c r="F19" s="15"/>
      <c r="G19" s="30"/>
      <c r="H19" s="11"/>
      <c r="I19" s="20"/>
      <c r="J19" s="11"/>
      <c r="K19" s="11"/>
      <c r="L19" s="21"/>
      <c r="N19" s="21"/>
      <c r="O19" s="30"/>
    </row>
    <row r="20" spans="2:15" x14ac:dyDescent="0.25">
      <c r="B20" s="38" t="s">
        <v>455</v>
      </c>
      <c r="C20" t="s">
        <v>460</v>
      </c>
      <c r="D20" s="15">
        <v>-0.46300000000000002</v>
      </c>
      <c r="E20" s="15">
        <v>-0.75774930264993023</v>
      </c>
      <c r="F20" s="15">
        <v>0.29474930264993021</v>
      </c>
      <c r="G20" s="11" t="s">
        <v>928</v>
      </c>
      <c r="H20" s="11"/>
      <c r="I20" s="20"/>
      <c r="J20" s="11"/>
      <c r="K20" s="11"/>
      <c r="L20" s="21"/>
      <c r="N20" s="21"/>
      <c r="O20" s="30"/>
    </row>
    <row r="21" spans="2:15" x14ac:dyDescent="0.25">
      <c r="B21" s="75">
        <v>59557.016766667366</v>
      </c>
      <c r="C21" t="s">
        <v>461</v>
      </c>
      <c r="D21" s="15">
        <v>0.95318800000000004</v>
      </c>
      <c r="E21" s="15">
        <v>0.98666596931659623</v>
      </c>
      <c r="F21" s="15">
        <v>-3.347796931659619E-2</v>
      </c>
      <c r="G21" s="11" t="s">
        <v>928</v>
      </c>
      <c r="H21" s="15"/>
      <c r="I21" s="20"/>
      <c r="J21" s="11"/>
      <c r="K21" s="11"/>
      <c r="L21" s="21"/>
      <c r="N21" s="21"/>
      <c r="O21" s="30"/>
    </row>
    <row r="22" spans="2:15" x14ac:dyDescent="0.25">
      <c r="C22" t="s">
        <v>462</v>
      </c>
      <c r="D22" s="15">
        <v>7.8417341588481246</v>
      </c>
      <c r="E22" s="15">
        <v>4.9531879999999999</v>
      </c>
      <c r="F22" s="15">
        <v>2.8885461588481247</v>
      </c>
      <c r="G22" s="11" t="s">
        <v>929</v>
      </c>
      <c r="I22" s="11"/>
      <c r="J22" s="11"/>
      <c r="K22" s="11"/>
    </row>
    <row r="23" spans="2:15" x14ac:dyDescent="0.25">
      <c r="I23" s="11"/>
      <c r="J23" s="11"/>
      <c r="K23" s="11"/>
      <c r="M23" s="7"/>
    </row>
    <row r="24" spans="2:15" x14ac:dyDescent="0.25">
      <c r="I24" s="11"/>
      <c r="J24" s="11"/>
      <c r="K24" s="11"/>
    </row>
    <row r="25" spans="2:15" x14ac:dyDescent="0.25">
      <c r="B25" s="19" t="s">
        <v>5</v>
      </c>
      <c r="C25" t="s">
        <v>120</v>
      </c>
      <c r="D25" s="15">
        <v>6.6</v>
      </c>
      <c r="E25" s="15">
        <v>-0.22916666666666696</v>
      </c>
      <c r="F25" s="15"/>
      <c r="G25" s="30" t="s">
        <v>937</v>
      </c>
      <c r="H25" s="11"/>
      <c r="I25" s="11"/>
      <c r="J25" s="20"/>
      <c r="K25" s="11"/>
      <c r="L25" s="21"/>
      <c r="N25" s="21"/>
      <c r="O25" s="30"/>
    </row>
    <row r="26" spans="2:15" x14ac:dyDescent="0.25">
      <c r="B26" s="38" t="s">
        <v>381</v>
      </c>
      <c r="C26" t="s">
        <v>2</v>
      </c>
      <c r="D26" s="15">
        <v>9</v>
      </c>
      <c r="E26" s="15">
        <v>1.8916666666666666</v>
      </c>
      <c r="F26" s="15"/>
      <c r="G26" s="27" t="s">
        <v>938</v>
      </c>
      <c r="H26" s="11"/>
      <c r="I26" s="20"/>
      <c r="J26" s="20"/>
      <c r="L26" s="21"/>
      <c r="N26" s="21"/>
      <c r="O26" s="30"/>
    </row>
    <row r="27" spans="2:15" x14ac:dyDescent="0.25">
      <c r="B27" s="41">
        <v>27.9</v>
      </c>
      <c r="C27" t="s">
        <v>154</v>
      </c>
      <c r="D27" s="15">
        <v>4.13</v>
      </c>
      <c r="E27" s="15"/>
      <c r="F27" s="15"/>
      <c r="G27" s="30" t="s">
        <v>939</v>
      </c>
      <c r="H27" s="11"/>
      <c r="I27" s="11"/>
      <c r="J27" s="20"/>
      <c r="K27" s="11"/>
      <c r="L27" s="21"/>
      <c r="N27" s="21"/>
      <c r="O27" s="30"/>
    </row>
    <row r="28" spans="2:15" x14ac:dyDescent="0.25">
      <c r="B28" s="40" t="s">
        <v>382</v>
      </c>
      <c r="C28" t="s">
        <v>171</v>
      </c>
      <c r="D28" s="45">
        <v>-7.63</v>
      </c>
      <c r="E28" s="15"/>
      <c r="F28" s="15"/>
      <c r="G28" s="30" t="s">
        <v>997</v>
      </c>
      <c r="H28" s="11"/>
      <c r="I28" s="11"/>
      <c r="J28" s="20"/>
      <c r="K28" s="11"/>
      <c r="L28" s="21"/>
      <c r="N28" s="21"/>
      <c r="O28" s="30"/>
    </row>
    <row r="29" spans="2:15" x14ac:dyDescent="0.25">
      <c r="B29" s="44">
        <v>-0.11999509999999999</v>
      </c>
      <c r="C29" t="s">
        <v>119</v>
      </c>
      <c r="D29" s="73">
        <v>-2.59</v>
      </c>
      <c r="E29" s="15"/>
      <c r="F29" s="15"/>
      <c r="G29" s="30"/>
      <c r="H29" s="11"/>
      <c r="I29" s="11"/>
      <c r="J29" s="11"/>
      <c r="K29" s="11"/>
      <c r="L29" s="21"/>
      <c r="N29" s="21"/>
    </row>
    <row r="30" spans="2:15" x14ac:dyDescent="0.25">
      <c r="B30" s="38" t="s">
        <v>456</v>
      </c>
      <c r="C30" t="s">
        <v>460</v>
      </c>
      <c r="D30" s="15">
        <v>1.1537999999999999</v>
      </c>
      <c r="E30" s="15">
        <v>0.99906729428173091</v>
      </c>
      <c r="F30" s="15">
        <v>0.15473270571826903</v>
      </c>
      <c r="G30" s="11" t="s">
        <v>928</v>
      </c>
      <c r="H30" s="11"/>
      <c r="J30" s="11"/>
      <c r="K30" s="11"/>
      <c r="L30" s="21"/>
      <c r="M30" s="20"/>
      <c r="N30" s="21"/>
    </row>
    <row r="31" spans="2:15" x14ac:dyDescent="0.25">
      <c r="B31" s="75">
        <v>32616.662399999797</v>
      </c>
      <c r="C31" t="s">
        <v>461</v>
      </c>
      <c r="D31" s="15">
        <v>1.9979309999999999</v>
      </c>
      <c r="E31" s="15">
        <v>3.677624372384936</v>
      </c>
      <c r="F31" s="15">
        <v>-1.6796933723849361</v>
      </c>
      <c r="G31" s="11" t="s">
        <v>913</v>
      </c>
      <c r="H31" s="15"/>
      <c r="I31" s="11"/>
      <c r="J31" s="11"/>
      <c r="K31" s="11"/>
      <c r="L31" s="21"/>
      <c r="M31" s="20"/>
      <c r="N31" s="21"/>
      <c r="O31" s="82"/>
    </row>
    <row r="32" spans="2:15" x14ac:dyDescent="0.25">
      <c r="C32" t="s">
        <v>462</v>
      </c>
      <c r="D32" s="15">
        <v>9.1135697511319638</v>
      </c>
      <c r="E32" s="15">
        <v>5.9979309999999995</v>
      </c>
      <c r="F32" s="15">
        <v>3.1156387511319643</v>
      </c>
      <c r="G32" s="11" t="s">
        <v>929</v>
      </c>
      <c r="I32" s="11"/>
      <c r="J32" s="11"/>
      <c r="K32" s="11"/>
    </row>
    <row r="33" spans="2:15" x14ac:dyDescent="0.25">
      <c r="I33" s="11"/>
      <c r="J33" s="11"/>
      <c r="K33" s="11"/>
      <c r="M33" s="7"/>
    </row>
    <row r="34" spans="2:15" x14ac:dyDescent="0.25">
      <c r="I34" s="11"/>
      <c r="J34" s="11"/>
      <c r="K34" s="11"/>
    </row>
    <row r="35" spans="2:15" x14ac:dyDescent="0.25">
      <c r="B35" s="19" t="s">
        <v>4</v>
      </c>
      <c r="C35" t="s">
        <v>120</v>
      </c>
      <c r="D35" s="15">
        <v>0.4</v>
      </c>
      <c r="E35" s="15">
        <v>-2.5166666666666662</v>
      </c>
      <c r="F35" s="15"/>
      <c r="G35" s="30" t="s">
        <v>937</v>
      </c>
      <c r="H35" s="11"/>
      <c r="I35" s="20"/>
      <c r="J35" s="20"/>
      <c r="K35" s="11"/>
      <c r="L35" s="21"/>
      <c r="N35" s="21"/>
      <c r="O35" s="30"/>
    </row>
    <row r="36" spans="2:15" x14ac:dyDescent="0.25">
      <c r="B36" s="38" t="s">
        <v>381</v>
      </c>
      <c r="C36" t="s">
        <v>2</v>
      </c>
      <c r="D36" s="15">
        <v>1.2</v>
      </c>
      <c r="E36" s="15">
        <v>4.166666666666663E-2</v>
      </c>
      <c r="F36" s="15"/>
      <c r="G36" s="27" t="s">
        <v>938</v>
      </c>
      <c r="H36" s="11"/>
      <c r="I36" s="20"/>
      <c r="J36" s="20"/>
      <c r="K36" s="11"/>
      <c r="L36" s="21"/>
      <c r="N36" s="21"/>
      <c r="O36" s="30"/>
    </row>
    <row r="37" spans="2:15" x14ac:dyDescent="0.25">
      <c r="B37" s="41" t="s">
        <v>464</v>
      </c>
      <c r="C37" t="s">
        <v>154</v>
      </c>
      <c r="D37" s="15">
        <v>2.73</v>
      </c>
      <c r="E37" s="15"/>
      <c r="F37" s="15"/>
      <c r="G37" s="30" t="s">
        <v>1045</v>
      </c>
      <c r="H37" s="11"/>
      <c r="I37" s="11"/>
      <c r="J37" s="20"/>
      <c r="K37" s="11"/>
      <c r="L37" s="21"/>
      <c r="N37" s="21"/>
      <c r="O37" s="30"/>
    </row>
    <row r="38" spans="2:15" x14ac:dyDescent="0.25">
      <c r="B38" s="40" t="s">
        <v>382</v>
      </c>
      <c r="C38" t="s">
        <v>171</v>
      </c>
      <c r="D38" s="45">
        <v>-6.36</v>
      </c>
      <c r="E38" s="15"/>
      <c r="F38" s="15"/>
      <c r="G38" s="30" t="s">
        <v>997</v>
      </c>
      <c r="H38" s="11"/>
      <c r="I38" s="11"/>
      <c r="J38" s="20"/>
      <c r="K38" s="11"/>
      <c r="L38" s="21"/>
      <c r="N38" s="21"/>
    </row>
    <row r="39" spans="2:15" x14ac:dyDescent="0.25">
      <c r="B39" s="44">
        <v>-0.34999849999999999</v>
      </c>
      <c r="C39" t="s">
        <v>119</v>
      </c>
      <c r="D39" s="43">
        <v>2.86</v>
      </c>
      <c r="E39" s="15"/>
      <c r="F39" s="15"/>
      <c r="G39" s="30"/>
      <c r="H39" s="11"/>
      <c r="I39" s="20"/>
      <c r="J39" s="11"/>
      <c r="K39" s="20"/>
      <c r="L39" s="21"/>
      <c r="N39" s="21"/>
    </row>
    <row r="40" spans="2:15" x14ac:dyDescent="0.25">
      <c r="B40" s="38" t="s">
        <v>457</v>
      </c>
      <c r="C40" t="s">
        <v>460</v>
      </c>
      <c r="D40" s="15">
        <v>-1.754E-2</v>
      </c>
      <c r="E40" s="15">
        <v>-1.4161262203626224</v>
      </c>
      <c r="F40" s="15">
        <v>1.3985862203626223</v>
      </c>
      <c r="G40" s="11" t="s">
        <v>930</v>
      </c>
      <c r="H40" s="11"/>
      <c r="I40" s="11"/>
      <c r="J40" s="11"/>
      <c r="K40" s="11"/>
      <c r="L40" s="21"/>
      <c r="M40" s="20"/>
      <c r="N40" s="21"/>
    </row>
    <row r="41" spans="2:15" x14ac:dyDescent="0.25">
      <c r="B41" s="75">
        <v>34430.761333332397</v>
      </c>
      <c r="C41" t="s">
        <v>461</v>
      </c>
      <c r="D41" s="15">
        <v>0.25</v>
      </c>
      <c r="E41" s="15">
        <v>0.28048122036262252</v>
      </c>
      <c r="F41" s="15">
        <v>-3.0481220362622519E-2</v>
      </c>
      <c r="G41" s="11" t="s">
        <v>928</v>
      </c>
      <c r="H41" s="15"/>
      <c r="I41" s="11"/>
      <c r="J41" s="11"/>
      <c r="K41" s="11"/>
      <c r="L41" s="21"/>
      <c r="M41" s="20"/>
      <c r="N41" s="21"/>
      <c r="O41" s="82"/>
    </row>
    <row r="42" spans="2:15" x14ac:dyDescent="0.25">
      <c r="C42" t="s">
        <v>462</v>
      </c>
      <c r="D42" s="15">
        <v>6.6831320157047012</v>
      </c>
      <c r="E42" s="15">
        <v>4.25</v>
      </c>
      <c r="F42" s="15">
        <v>2.4331320157047012</v>
      </c>
      <c r="G42" s="11" t="s">
        <v>929</v>
      </c>
      <c r="I42" s="11"/>
      <c r="J42" s="11"/>
      <c r="K42" s="11"/>
      <c r="M42" s="7"/>
    </row>
    <row r="43" spans="2:15" x14ac:dyDescent="0.25">
      <c r="E43" s="15"/>
      <c r="I43" s="11"/>
      <c r="J43" s="11"/>
      <c r="K43" s="11"/>
    </row>
    <row r="44" spans="2:15" x14ac:dyDescent="0.25">
      <c r="I44" s="11"/>
      <c r="J44" s="11"/>
      <c r="K44" s="11"/>
    </row>
    <row r="45" spans="2:15" x14ac:dyDescent="0.25">
      <c r="B45" s="19" t="s">
        <v>153</v>
      </c>
      <c r="C45" t="s">
        <v>120</v>
      </c>
      <c r="D45" s="32">
        <v>4.8</v>
      </c>
      <c r="E45" s="15">
        <v>4.9249999999999998</v>
      </c>
      <c r="F45" s="15"/>
      <c r="G45" s="30" t="s">
        <v>937</v>
      </c>
      <c r="H45" s="11"/>
      <c r="I45" s="11"/>
      <c r="J45" s="20"/>
      <c r="K45" s="11"/>
      <c r="L45" s="21"/>
      <c r="N45" s="21"/>
      <c r="O45" s="30"/>
    </row>
    <row r="46" spans="2:15" x14ac:dyDescent="0.25">
      <c r="B46" s="38" t="s">
        <v>381</v>
      </c>
      <c r="C46" t="s">
        <v>2</v>
      </c>
      <c r="D46" s="15">
        <v>1.5</v>
      </c>
      <c r="E46" s="15">
        <v>2.4041666666666668</v>
      </c>
      <c r="F46" s="15"/>
      <c r="G46" s="27" t="s">
        <v>938</v>
      </c>
      <c r="H46" s="11"/>
      <c r="I46" s="11"/>
      <c r="J46" s="20"/>
      <c r="K46" s="11"/>
      <c r="L46" s="21"/>
      <c r="N46" s="21"/>
      <c r="O46" s="30"/>
    </row>
    <row r="47" spans="2:15" x14ac:dyDescent="0.25">
      <c r="B47" s="41">
        <v>-2.5999979999999998</v>
      </c>
      <c r="C47" t="s">
        <v>154</v>
      </c>
      <c r="D47" s="15">
        <v>3.96</v>
      </c>
      <c r="E47" s="15"/>
      <c r="F47" s="15"/>
      <c r="G47" s="30" t="s">
        <v>939</v>
      </c>
      <c r="H47" s="11"/>
      <c r="I47" s="11"/>
      <c r="J47" s="20"/>
      <c r="K47" s="11"/>
      <c r="L47" s="21"/>
      <c r="N47" s="21"/>
      <c r="O47" s="30"/>
    </row>
    <row r="48" spans="2:15" x14ac:dyDescent="0.25">
      <c r="B48" s="40" t="s">
        <v>382</v>
      </c>
      <c r="C48" t="s">
        <v>171</v>
      </c>
      <c r="D48" s="42">
        <v>-3.83</v>
      </c>
      <c r="E48" s="15"/>
      <c r="F48" s="15"/>
      <c r="G48" s="30" t="s">
        <v>997</v>
      </c>
      <c r="H48" s="11"/>
      <c r="I48" s="11"/>
      <c r="J48" s="20"/>
      <c r="K48" s="11"/>
      <c r="L48" s="21"/>
      <c r="N48" s="21"/>
      <c r="O48" s="30"/>
    </row>
    <row r="49" spans="2:14" x14ac:dyDescent="0.25">
      <c r="B49" s="44">
        <v>0.52999879999999999</v>
      </c>
      <c r="C49" t="s">
        <v>119</v>
      </c>
      <c r="D49" s="43">
        <v>1.77</v>
      </c>
      <c r="E49" s="15"/>
      <c r="F49" s="15"/>
      <c r="G49" s="30"/>
      <c r="H49" s="11"/>
      <c r="I49" s="11"/>
      <c r="J49" s="20"/>
      <c r="K49" s="20"/>
      <c r="L49" s="21"/>
      <c r="N49" s="21"/>
    </row>
    <row r="50" spans="2:14" x14ac:dyDescent="0.25">
      <c r="B50" s="38" t="s">
        <v>453</v>
      </c>
      <c r="C50" t="s">
        <v>460</v>
      </c>
      <c r="D50" s="15">
        <v>2.3050000000000002</v>
      </c>
      <c r="E50" s="15">
        <v>2.1000000000000032</v>
      </c>
      <c r="F50" s="15">
        <v>0.20499999999999696</v>
      </c>
      <c r="G50" s="11" t="s">
        <v>928</v>
      </c>
      <c r="H50" s="11"/>
      <c r="I50" s="11"/>
      <c r="J50" s="20"/>
      <c r="K50" s="20"/>
      <c r="L50" s="21"/>
      <c r="N50" s="21"/>
    </row>
    <row r="51" spans="2:14" x14ac:dyDescent="0.25">
      <c r="B51" s="76">
        <v>-22552.278233334422</v>
      </c>
      <c r="C51" t="s">
        <v>461</v>
      </c>
      <c r="D51" s="15">
        <v>2.84</v>
      </c>
      <c r="E51" s="15">
        <v>5.8004166666666634</v>
      </c>
      <c r="F51" s="15">
        <v>-2.9604166666666636</v>
      </c>
      <c r="G51" s="11" t="s">
        <v>913</v>
      </c>
      <c r="I51" s="11"/>
      <c r="J51" s="11"/>
      <c r="K51" s="11"/>
    </row>
    <row r="52" spans="2:14" x14ac:dyDescent="0.25">
      <c r="C52" t="s">
        <v>462</v>
      </c>
      <c r="D52" s="15">
        <v>8.4053088370936155</v>
      </c>
      <c r="E52" s="15">
        <v>6.84</v>
      </c>
      <c r="F52" s="15">
        <v>1.5653088370936157</v>
      </c>
      <c r="G52" s="11" t="s">
        <v>929</v>
      </c>
      <c r="J52" s="11"/>
      <c r="K52" s="11"/>
      <c r="M52" s="7"/>
    </row>
    <row r="53" spans="2:14" x14ac:dyDescent="0.25">
      <c r="D53" s="15"/>
      <c r="E53" s="15"/>
      <c r="G53" s="11"/>
      <c r="H53" s="11"/>
      <c r="I53" s="11"/>
      <c r="K53" s="21"/>
      <c r="L53" s="21"/>
      <c r="N53" s="21"/>
    </row>
    <row r="54" spans="2:14" x14ac:dyDescent="0.25">
      <c r="D54" s="11"/>
      <c r="E54" s="11"/>
      <c r="F54" s="11"/>
      <c r="G54" s="8"/>
      <c r="J54" s="8"/>
      <c r="K54" s="8"/>
      <c r="N54" s="11"/>
    </row>
    <row r="55" spans="2:14" x14ac:dyDescent="0.25">
      <c r="I55" s="11"/>
      <c r="J55" s="19"/>
      <c r="N55" s="11"/>
    </row>
    <row r="56" spans="2:14" x14ac:dyDescent="0.25">
      <c r="N56" s="11"/>
    </row>
    <row r="57" spans="2:14" x14ac:dyDescent="0.25">
      <c r="N57" s="11"/>
    </row>
    <row r="58" spans="2:14" x14ac:dyDescent="0.25">
      <c r="N58" s="11"/>
    </row>
    <row r="59" spans="2:14" x14ac:dyDescent="0.25">
      <c r="D59" s="34"/>
      <c r="E59" s="34"/>
      <c r="F59" s="34"/>
    </row>
  </sheetData>
  <conditionalFormatting sqref="I53:I55 K51:K54 N51:N58 E54:F54 E53 D53:D54">
    <cfRule type="cellIs" dxfId="237" priority="73" operator="lessThan">
      <formula>0</formula>
    </cfRule>
    <cfRule type="cellIs" dxfId="236" priority="74" operator="greaterThan">
      <formula>0</formula>
    </cfRule>
  </conditionalFormatting>
  <conditionalFormatting sqref="J52:J54 O51:O58">
    <cfRule type="cellIs" dxfId="233" priority="69" operator="lessThan">
      <formula>-8</formula>
    </cfRule>
    <cfRule type="cellIs" dxfId="232" priority="70" operator="greaterThan">
      <formula>8</formula>
    </cfRule>
  </conditionalFormatting>
  <conditionalFormatting sqref="J52:J54">
    <cfRule type="cellIs" dxfId="231" priority="67" operator="lessThan">
      <formula>-1.75</formula>
    </cfRule>
    <cfRule type="cellIs" dxfId="230" priority="68" operator="greaterThan">
      <formula>1.75</formula>
    </cfRule>
  </conditionalFormatting>
  <conditionalFormatting sqref="D7 D19 D45 D28 D51 D31 D41 D11">
    <cfRule type="cellIs" dxfId="227" priority="75" operator="equal">
      <formula>#REF!</formula>
    </cfRule>
    <cfRule type="cellIs" dxfId="226" priority="76" operator="equal">
      <formula>#REF!</formula>
    </cfRule>
  </conditionalFormatting>
  <conditionalFormatting sqref="D17 D40 D12 D32 D42 E20:E21 E30:E31 E40:E41 E50:E51 E11 D10:E10 D46:D47">
    <cfRule type="cellIs" dxfId="225" priority="77" operator="equal">
      <formula>#REF!</formula>
    </cfRule>
    <cfRule type="cellIs" dxfId="224" priority="78" operator="equal">
      <formula>#REF!</formula>
    </cfRule>
  </conditionalFormatting>
  <conditionalFormatting sqref="F11:F12">
    <cfRule type="cellIs" dxfId="215" priority="55" operator="equal">
      <formula>#REF!</formula>
    </cfRule>
    <cfRule type="cellIs" dxfId="214" priority="56" operator="equal">
      <formula>#REF!</formula>
    </cfRule>
  </conditionalFormatting>
  <conditionalFormatting sqref="F11:F12">
    <cfRule type="cellIs" dxfId="213" priority="53" operator="lessThan">
      <formula>-0.2</formula>
    </cfRule>
    <cfRule type="cellIs" dxfId="212" priority="54" operator="greaterThan">
      <formula>0.2</formula>
    </cfRule>
  </conditionalFormatting>
  <conditionalFormatting sqref="F21:F22">
    <cfRule type="cellIs" dxfId="211" priority="51" operator="equal">
      <formula>#REF!</formula>
    </cfRule>
    <cfRule type="cellIs" dxfId="210" priority="52" operator="equal">
      <formula>#REF!</formula>
    </cfRule>
  </conditionalFormatting>
  <conditionalFormatting sqref="F21:F22">
    <cfRule type="cellIs" dxfId="209" priority="49" operator="lessThan">
      <formula>-0.2</formula>
    </cfRule>
    <cfRule type="cellIs" dxfId="208" priority="50" operator="greaterThan">
      <formula>0.2</formula>
    </cfRule>
  </conditionalFormatting>
  <conditionalFormatting sqref="F31:F32">
    <cfRule type="cellIs" dxfId="207" priority="47" operator="equal">
      <formula>#REF!</formula>
    </cfRule>
    <cfRule type="cellIs" dxfId="206" priority="48" operator="equal">
      <formula>#REF!</formula>
    </cfRule>
  </conditionalFormatting>
  <conditionalFormatting sqref="F31:F32">
    <cfRule type="cellIs" dxfId="205" priority="45" operator="lessThan">
      <formula>-0.2</formula>
    </cfRule>
    <cfRule type="cellIs" dxfId="204" priority="46" operator="greaterThan">
      <formula>0.2</formula>
    </cfRule>
  </conditionalFormatting>
  <conditionalFormatting sqref="F41:F42">
    <cfRule type="cellIs" dxfId="203" priority="43" operator="equal">
      <formula>#REF!</formula>
    </cfRule>
    <cfRule type="cellIs" dxfId="202" priority="44" operator="equal">
      <formula>#REF!</formula>
    </cfRule>
  </conditionalFormatting>
  <conditionalFormatting sqref="F41:F42">
    <cfRule type="cellIs" dxfId="201" priority="41" operator="lessThan">
      <formula>-0.2</formula>
    </cfRule>
    <cfRule type="cellIs" dxfId="200" priority="42" operator="greaterThan">
      <formula>0.2</formula>
    </cfRule>
  </conditionalFormatting>
  <conditionalFormatting sqref="F51:F52">
    <cfRule type="cellIs" dxfId="199" priority="39" operator="equal">
      <formula>#REF!</formula>
    </cfRule>
    <cfRule type="cellIs" dxfId="198" priority="40" operator="equal">
      <formula>#REF!</formula>
    </cfRule>
  </conditionalFormatting>
  <conditionalFormatting sqref="F51:F52">
    <cfRule type="cellIs" dxfId="197" priority="37" operator="lessThan">
      <formula>-0.2</formula>
    </cfRule>
    <cfRule type="cellIs" dxfId="196" priority="38" operator="greaterThan">
      <formula>0.2</formula>
    </cfRule>
  </conditionalFormatting>
  <conditionalFormatting sqref="D37">
    <cfRule type="cellIs" dxfId="195" priority="35" operator="equal">
      <formula>#REF!</formula>
    </cfRule>
    <cfRule type="cellIs" dxfId="194" priority="36" operator="equal">
      <formula>#REF!</formula>
    </cfRule>
  </conditionalFormatting>
  <conditionalFormatting sqref="G5:G8 G34:G38">
    <cfRule type="cellIs" dxfId="23" priority="23" operator="equal">
      <formula>"exp"</formula>
    </cfRule>
    <cfRule type="cellIs" dxfId="22" priority="24" operator="equal">
      <formula>"cheap"</formula>
    </cfRule>
  </conditionalFormatting>
  <conditionalFormatting sqref="G53:G54">
    <cfRule type="cellIs" dxfId="21" priority="21" operator="lessThan">
      <formula>-8</formula>
    </cfRule>
    <cfRule type="cellIs" dxfId="20" priority="22" operator="greaterThan">
      <formula>8</formula>
    </cfRule>
  </conditionalFormatting>
  <conditionalFormatting sqref="G13">
    <cfRule type="cellIs" dxfId="19" priority="19" operator="equal">
      <formula>"exp"</formula>
    </cfRule>
    <cfRule type="cellIs" dxfId="18" priority="20" operator="equal">
      <formula>"cheap"</formula>
    </cfRule>
  </conditionalFormatting>
  <conditionalFormatting sqref="G15">
    <cfRule type="cellIs" dxfId="17" priority="17" operator="equal">
      <formula>"exp"</formula>
    </cfRule>
    <cfRule type="cellIs" dxfId="16" priority="18" operator="equal">
      <formula>"cheap"</formula>
    </cfRule>
  </conditionalFormatting>
  <conditionalFormatting sqref="G25">
    <cfRule type="cellIs" dxfId="15" priority="15" operator="equal">
      <formula>"exp"</formula>
    </cfRule>
    <cfRule type="cellIs" dxfId="14" priority="16" operator="equal">
      <formula>"cheap"</formula>
    </cfRule>
  </conditionalFormatting>
  <conditionalFormatting sqref="G35">
    <cfRule type="cellIs" dxfId="13" priority="13" operator="equal">
      <formula>"exp"</formula>
    </cfRule>
    <cfRule type="cellIs" dxfId="12" priority="14" operator="equal">
      <formula>"cheap"</formula>
    </cfRule>
  </conditionalFormatting>
  <conditionalFormatting sqref="G45">
    <cfRule type="cellIs" dxfId="11" priority="11" operator="equal">
      <formula>"exp"</formula>
    </cfRule>
    <cfRule type="cellIs" dxfId="10" priority="12" operator="equal">
      <formula>"cheap"</formula>
    </cfRule>
  </conditionalFormatting>
  <conditionalFormatting sqref="G11:G12">
    <cfRule type="cellIs" dxfId="9" priority="9" operator="equal">
      <formula>"exp"</formula>
    </cfRule>
    <cfRule type="cellIs" dxfId="8" priority="10" operator="equal">
      <formula>"cheap"</formula>
    </cfRule>
  </conditionalFormatting>
  <conditionalFormatting sqref="G21:G22">
    <cfRule type="cellIs" dxfId="7" priority="7" operator="equal">
      <formula>"exp"</formula>
    </cfRule>
    <cfRule type="cellIs" dxfId="6" priority="8" operator="equal">
      <formula>"cheap"</formula>
    </cfRule>
  </conditionalFormatting>
  <conditionalFormatting sqref="G31:G32">
    <cfRule type="cellIs" dxfId="5" priority="5" operator="equal">
      <formula>"exp"</formula>
    </cfRule>
    <cfRule type="cellIs" dxfId="4" priority="6" operator="equal">
      <formula>"cheap"</formula>
    </cfRule>
  </conditionalFormatting>
  <conditionalFormatting sqref="G41:G42">
    <cfRule type="cellIs" dxfId="3" priority="3" operator="equal">
      <formula>"exp"</formula>
    </cfRule>
    <cfRule type="cellIs" dxfId="2" priority="4" operator="equal">
      <formula>"cheap"</formula>
    </cfRule>
  </conditionalFormatting>
  <conditionalFormatting sqref="G51:G52">
    <cfRule type="cellIs" dxfId="1" priority="1" operator="equal">
      <formula>"exp"</formula>
    </cfRule>
    <cfRule type="cellIs" dxfId="0" priority="2" operator="equal">
      <formula>"cheap"</formula>
    </cfRule>
  </conditionalFormatting>
  <pageMargins left="0.7" right="0.7" top="0.75" bottom="0.75" header="0.3" footer="0.3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B1:O59"/>
  <sheetViews>
    <sheetView showGridLines="0" topLeftCell="A25" workbookViewId="0">
      <selection activeCell="B25" sqref="B1:B1048576"/>
    </sheetView>
  </sheetViews>
  <sheetFormatPr defaultRowHeight="15" x14ac:dyDescent="0.25"/>
  <cols>
    <col min="1" max="1" width="2.7109375" customWidth="1"/>
    <col min="2" max="2" width="15.5703125" bestFit="1" customWidth="1"/>
    <col min="3" max="3" width="10.28515625" bestFit="1" customWidth="1"/>
    <col min="4" max="4" width="14.28515625" customWidth="1"/>
    <col min="5" max="5" width="5.28515625" bestFit="1" customWidth="1"/>
    <col min="6" max="6" width="5.28515625" customWidth="1"/>
    <col min="7" max="7" width="13.42578125" customWidth="1"/>
    <col min="8" max="8" width="3.140625" customWidth="1"/>
    <col min="9" max="9" width="32.42578125" bestFit="1" customWidth="1"/>
    <col min="10" max="10" width="2.42578125" customWidth="1"/>
    <col min="11" max="11" width="19.140625" bestFit="1" customWidth="1"/>
    <col min="12" max="12" width="2.85546875" customWidth="1"/>
    <col min="13" max="13" width="37.85546875" style="11" customWidth="1"/>
    <col min="14" max="14" width="3.42578125" customWidth="1"/>
    <col min="15" max="15" width="32.140625" style="29" bestFit="1" customWidth="1"/>
  </cols>
  <sheetData>
    <row r="1" spans="2:15" s="19" customFormat="1" ht="15.75" thickBot="1" x14ac:dyDescent="0.3">
      <c r="B1" s="70">
        <f ca="1">+'eco data'!E1</f>
        <v>44673</v>
      </c>
      <c r="C1" s="71"/>
      <c r="D1" s="71"/>
      <c r="E1" s="72" t="s">
        <v>11</v>
      </c>
      <c r="F1" s="71"/>
      <c r="G1" s="71"/>
      <c r="I1" s="72" t="s">
        <v>12</v>
      </c>
      <c r="K1" s="72" t="s">
        <v>13</v>
      </c>
      <c r="M1" s="72" t="s">
        <v>14</v>
      </c>
      <c r="O1" s="72" t="s">
        <v>936</v>
      </c>
    </row>
    <row r="2" spans="2:15" x14ac:dyDescent="0.25">
      <c r="D2" s="11" t="s">
        <v>910</v>
      </c>
      <c r="E2" s="11" t="s">
        <v>488</v>
      </c>
      <c r="F2" s="11" t="s">
        <v>182</v>
      </c>
      <c r="G2" s="11"/>
      <c r="H2" s="11"/>
    </row>
    <row r="3" spans="2:15" ht="1.5" customHeight="1" x14ac:dyDescent="0.25">
      <c r="B3" s="4"/>
      <c r="C3" s="4"/>
      <c r="D3" s="4"/>
      <c r="E3" s="4"/>
      <c r="F3" s="4"/>
      <c r="G3" s="5"/>
      <c r="H3" s="5"/>
      <c r="I3" s="4"/>
      <c r="J3" s="4"/>
      <c r="K3" s="4"/>
      <c r="L3" s="4"/>
      <c r="M3" s="5"/>
      <c r="N3" s="4"/>
      <c r="O3" s="81"/>
    </row>
    <row r="4" spans="2:15" x14ac:dyDescent="0.25">
      <c r="D4" s="11" t="s">
        <v>912</v>
      </c>
      <c r="E4" s="11" t="s">
        <v>911</v>
      </c>
      <c r="F4" s="11"/>
      <c r="G4" s="11"/>
      <c r="H4" s="11"/>
    </row>
    <row r="5" spans="2:15" x14ac:dyDescent="0.25">
      <c r="B5" s="19" t="str">
        <f>+'eco data'!A3</f>
        <v>US</v>
      </c>
      <c r="C5" t="s">
        <v>120</v>
      </c>
      <c r="D5" s="15">
        <f>+'eco data'!D5</f>
        <v>5.5</v>
      </c>
      <c r="E5" s="15">
        <f>+rates!AH3</f>
        <v>-0.70416666666666627</v>
      </c>
      <c r="F5" s="15"/>
      <c r="G5" s="30" t="s">
        <v>1004</v>
      </c>
      <c r="H5" s="11"/>
      <c r="I5" s="20" t="s">
        <v>944</v>
      </c>
      <c r="J5" s="20"/>
      <c r="K5" s="11" t="s">
        <v>491</v>
      </c>
      <c r="L5" s="21"/>
      <c r="M5" s="11" t="s">
        <v>1009</v>
      </c>
      <c r="N5" s="21"/>
      <c r="O5" s="30" t="s">
        <v>1012</v>
      </c>
    </row>
    <row r="6" spans="2:15" x14ac:dyDescent="0.25">
      <c r="B6" s="38" t="s">
        <v>381</v>
      </c>
      <c r="C6" t="s">
        <v>2</v>
      </c>
      <c r="D6" s="15">
        <f>+'eco data'!D4</f>
        <v>5.9</v>
      </c>
      <c r="E6" s="15">
        <f>+rates!AI3</f>
        <v>1.4666666666666668</v>
      </c>
      <c r="F6" s="15"/>
      <c r="G6" s="27" t="s">
        <v>882</v>
      </c>
      <c r="H6" s="11"/>
      <c r="I6" s="11" t="s">
        <v>945</v>
      </c>
      <c r="J6" s="20"/>
      <c r="K6" s="11" t="s">
        <v>952</v>
      </c>
      <c r="L6" s="21"/>
      <c r="M6" s="11" t="s">
        <v>957</v>
      </c>
      <c r="N6" s="21"/>
      <c r="O6" s="30" t="s">
        <v>959</v>
      </c>
    </row>
    <row r="7" spans="2:15" x14ac:dyDescent="0.25">
      <c r="B7" s="41">
        <f>+_xll.BDP("cesiusd index", "chg net 1m")</f>
        <v>18.100000000000001</v>
      </c>
      <c r="C7" t="s">
        <v>154</v>
      </c>
      <c r="D7" s="74">
        <f>+'eco data'!D8</f>
        <v>3.8</v>
      </c>
      <c r="E7" s="15"/>
      <c r="F7" s="15"/>
      <c r="G7" s="30" t="s">
        <v>962</v>
      </c>
      <c r="H7" s="11"/>
      <c r="I7" s="20" t="s">
        <v>946</v>
      </c>
      <c r="J7" s="20"/>
      <c r="K7" s="11" t="s">
        <v>953</v>
      </c>
      <c r="L7" s="21"/>
      <c r="M7" s="11" t="s">
        <v>1010</v>
      </c>
      <c r="N7" s="21"/>
      <c r="O7" s="30" t="s">
        <v>960</v>
      </c>
    </row>
    <row r="8" spans="2:15" x14ac:dyDescent="0.25">
      <c r="B8" s="40" t="s">
        <v>382</v>
      </c>
      <c r="C8" t="s">
        <v>171</v>
      </c>
      <c r="D8" s="45">
        <f>+'eco data'!D6</f>
        <v>-7.24</v>
      </c>
      <c r="E8" s="15"/>
      <c r="F8" s="15"/>
      <c r="G8" s="30" t="s">
        <v>498</v>
      </c>
      <c r="H8" s="11"/>
      <c r="I8" s="11" t="s">
        <v>947</v>
      </c>
      <c r="J8" s="20"/>
      <c r="K8" s="11" t="s">
        <v>954</v>
      </c>
      <c r="L8" s="21"/>
      <c r="M8" s="11" t="s">
        <v>919</v>
      </c>
      <c r="N8" s="21"/>
      <c r="O8" s="30" t="s">
        <v>1013</v>
      </c>
    </row>
    <row r="9" spans="2:15" x14ac:dyDescent="0.25">
      <c r="B9" s="44">
        <f>+_xll.BDP("gsusfci index", "chg net 1m")</f>
        <v>0.34999849999999999</v>
      </c>
      <c r="C9" t="s">
        <v>119</v>
      </c>
      <c r="D9" s="43">
        <f>+'eco data'!D7</f>
        <v>-3.42</v>
      </c>
      <c r="E9" s="15"/>
      <c r="F9" s="15"/>
      <c r="G9" s="30"/>
      <c r="H9" s="11"/>
      <c r="I9" s="11" t="s">
        <v>948</v>
      </c>
      <c r="J9" s="11"/>
      <c r="K9" s="11" t="s">
        <v>951</v>
      </c>
      <c r="L9" s="21"/>
      <c r="M9" s="11" t="s">
        <v>1011</v>
      </c>
      <c r="N9" s="21"/>
      <c r="O9" s="30" t="s">
        <v>958</v>
      </c>
    </row>
    <row r="10" spans="2:15" x14ac:dyDescent="0.25">
      <c r="B10" s="38" t="s">
        <v>454</v>
      </c>
      <c r="C10" t="s">
        <v>460</v>
      </c>
      <c r="D10" s="15">
        <f>+'eco data'!D11</f>
        <v>1.13629</v>
      </c>
      <c r="E10" s="15">
        <f>+rates!E18</f>
        <v>1.0010547419804736</v>
      </c>
      <c r="F10" s="15">
        <f>+D10-E10</f>
        <v>0.13523525801952641</v>
      </c>
      <c r="G10" s="11" t="str">
        <f>+IF(D10-E10&lt;-0.5,"easy",+IF(D10-E10&gt;0.5,"tight","fair"))</f>
        <v>fair</v>
      </c>
      <c r="H10" s="11"/>
      <c r="I10" s="11" t="s">
        <v>949</v>
      </c>
      <c r="J10" s="11"/>
      <c r="K10" s="11" t="s">
        <v>1007</v>
      </c>
      <c r="L10" s="21"/>
      <c r="M10" s="11" t="s">
        <v>956</v>
      </c>
      <c r="N10" s="21"/>
      <c r="O10" s="30" t="s">
        <v>961</v>
      </c>
    </row>
    <row r="11" spans="2:15" x14ac:dyDescent="0.25">
      <c r="B11" s="75">
        <f>+CBs!P210</f>
        <v>31788.666666666046</v>
      </c>
      <c r="C11" t="s">
        <v>461</v>
      </c>
      <c r="D11" s="15">
        <f ca="1">+'eco data'!D13</f>
        <v>2.9375</v>
      </c>
      <c r="E11" s="15">
        <f>+rates!E33</f>
        <v>2.3622872594142277</v>
      </c>
      <c r="F11" s="15">
        <f ca="1">+D11-E11</f>
        <v>0.57521274058577232</v>
      </c>
      <c r="G11" s="11" t="str">
        <f ca="1">+IF(D11-E11&lt;-1,"exp",+IF(D11-E11&gt;1,"rich","fair"))</f>
        <v>fair</v>
      </c>
      <c r="H11" s="15"/>
      <c r="I11" s="11" t="s">
        <v>1005</v>
      </c>
      <c r="J11" s="11"/>
      <c r="K11" s="11" t="s">
        <v>1008</v>
      </c>
      <c r="L11" s="21"/>
      <c r="M11" s="11" t="s">
        <v>955</v>
      </c>
      <c r="N11" s="21"/>
      <c r="O11" s="30" t="s">
        <v>1014</v>
      </c>
    </row>
    <row r="12" spans="2:15" x14ac:dyDescent="0.25">
      <c r="C12" t="s">
        <v>462</v>
      </c>
      <c r="D12" s="15">
        <f>100/'eco data'!D15</f>
        <v>5.1773072336047852</v>
      </c>
      <c r="E12" s="15">
        <f ca="1">+D11+4</f>
        <v>6.9375</v>
      </c>
      <c r="F12" s="15">
        <f ca="1">+D12-E12</f>
        <v>-1.7601927663952148</v>
      </c>
      <c r="G12" s="11" t="str">
        <f ca="1">+IF(D12-E12&lt;-1,"exp",+IF(D12-E12&gt;1,"cheap","fair"))</f>
        <v>exp</v>
      </c>
      <c r="H12" s="20"/>
      <c r="I12" s="11" t="s">
        <v>1006</v>
      </c>
      <c r="J12" s="11"/>
      <c r="K12" s="11" t="s">
        <v>950</v>
      </c>
      <c r="L12" s="21"/>
      <c r="M12" s="7">
        <f ca="1">+'eco data'!D13-'eco data'!D12</f>
        <v>0.18842099999999995</v>
      </c>
      <c r="N12" s="21"/>
      <c r="O12" s="30" t="s">
        <v>1018</v>
      </c>
    </row>
    <row r="13" spans="2:15" x14ac:dyDescent="0.25">
      <c r="G13" s="11"/>
      <c r="H13" s="20"/>
      <c r="I13" s="11" t="s">
        <v>1017</v>
      </c>
      <c r="J13" s="11"/>
      <c r="K13" s="11"/>
      <c r="L13" s="21"/>
      <c r="M13" s="20" t="s">
        <v>920</v>
      </c>
      <c r="N13" s="21"/>
    </row>
    <row r="14" spans="2:15" x14ac:dyDescent="0.25">
      <c r="I14" s="11"/>
      <c r="J14" s="11"/>
      <c r="K14" s="11"/>
    </row>
    <row r="15" spans="2:15" x14ac:dyDescent="0.25">
      <c r="B15" s="19" t="str">
        <f>+'eco data'!A17</f>
        <v>EU</v>
      </c>
      <c r="C15" t="s">
        <v>155</v>
      </c>
      <c r="D15" s="15">
        <f>+'eco data'!D19</f>
        <v>4.7</v>
      </c>
      <c r="E15" s="33">
        <f>+rates!AP3</f>
        <v>-2.6958333333333329</v>
      </c>
      <c r="F15" s="15"/>
      <c r="G15" s="30" t="s">
        <v>493</v>
      </c>
      <c r="H15" s="11"/>
      <c r="I15" s="11" t="s">
        <v>963</v>
      </c>
      <c r="J15" s="20"/>
      <c r="K15" s="11" t="s">
        <v>1015</v>
      </c>
      <c r="L15" s="21"/>
      <c r="M15" s="11" t="s">
        <v>968</v>
      </c>
      <c r="N15" s="21"/>
      <c r="O15" s="30" t="s">
        <v>1022</v>
      </c>
    </row>
    <row r="16" spans="2:15" x14ac:dyDescent="0.25">
      <c r="B16" s="38" t="s">
        <v>381</v>
      </c>
      <c r="C16" t="s">
        <v>2</v>
      </c>
      <c r="D16" s="15">
        <f>+'eco data'!D18</f>
        <v>7.4</v>
      </c>
      <c r="E16" s="15">
        <f>+rates!AQ3</f>
        <v>0.66666666666666663</v>
      </c>
      <c r="F16" s="15"/>
      <c r="G16" s="27" t="s">
        <v>497</v>
      </c>
      <c r="H16" s="11"/>
      <c r="I16" s="11" t="s">
        <v>966</v>
      </c>
      <c r="J16" s="20"/>
      <c r="K16" s="11" t="s">
        <v>1016</v>
      </c>
      <c r="L16" s="21"/>
      <c r="M16" s="11" t="s">
        <v>969</v>
      </c>
      <c r="N16" s="21"/>
      <c r="O16" s="30" t="s">
        <v>1023</v>
      </c>
    </row>
    <row r="17" spans="2:15" x14ac:dyDescent="0.25">
      <c r="B17" s="41">
        <f>+_xll.BDP("cesieur index", "chg net 1m")</f>
        <v>-15.9</v>
      </c>
      <c r="C17" t="s">
        <v>154</v>
      </c>
      <c r="D17" s="33">
        <f>+'eco data'!D22</f>
        <v>7.1</v>
      </c>
      <c r="E17" s="15"/>
      <c r="F17" s="15"/>
      <c r="G17" s="30" t="s">
        <v>962</v>
      </c>
      <c r="H17" s="11"/>
      <c r="I17" s="11" t="s">
        <v>495</v>
      </c>
      <c r="J17" s="20"/>
      <c r="K17" s="11" t="s">
        <v>496</v>
      </c>
      <c r="L17" s="21"/>
      <c r="M17" s="11" t="s">
        <v>1019</v>
      </c>
      <c r="N17" s="21"/>
      <c r="O17" s="30" t="s">
        <v>1024</v>
      </c>
    </row>
    <row r="18" spans="2:15" x14ac:dyDescent="0.25">
      <c r="B18" s="40" t="s">
        <v>382</v>
      </c>
      <c r="C18" t="s">
        <v>171</v>
      </c>
      <c r="D18" s="42">
        <f>+'eco data'!D20</f>
        <v>-5.1100000000000003</v>
      </c>
      <c r="E18" s="15"/>
      <c r="F18" s="15"/>
      <c r="G18" s="30" t="s">
        <v>498</v>
      </c>
      <c r="H18" s="11"/>
      <c r="I18" s="11" t="s">
        <v>964</v>
      </c>
      <c r="J18" s="20"/>
      <c r="K18" s="11" t="s">
        <v>492</v>
      </c>
      <c r="L18" s="21"/>
      <c r="M18" s="11" t="s">
        <v>972</v>
      </c>
      <c r="N18" s="21"/>
      <c r="O18" s="30" t="s">
        <v>1025</v>
      </c>
    </row>
    <row r="19" spans="2:15" x14ac:dyDescent="0.25">
      <c r="B19" s="44">
        <f>+_xll.BDP("gseafci index", "chg net 1m")</f>
        <v>-4.0000920000000002E-2</v>
      </c>
      <c r="C19" t="s">
        <v>119</v>
      </c>
      <c r="D19" s="43">
        <f>+'eco data'!D21</f>
        <v>2.59</v>
      </c>
      <c r="E19" s="15"/>
      <c r="F19" s="15"/>
      <c r="G19" s="30"/>
      <c r="H19" s="11"/>
      <c r="I19" s="20" t="s">
        <v>926</v>
      </c>
      <c r="J19" s="11"/>
      <c r="K19" s="11" t="s">
        <v>973</v>
      </c>
      <c r="L19" s="21"/>
      <c r="M19" s="11" t="s">
        <v>970</v>
      </c>
      <c r="N19" s="21"/>
      <c r="O19" s="30" t="s">
        <v>1026</v>
      </c>
    </row>
    <row r="20" spans="2:15" x14ac:dyDescent="0.25">
      <c r="B20" s="38" t="s">
        <v>455</v>
      </c>
      <c r="C20" t="s">
        <v>460</v>
      </c>
      <c r="D20" s="15">
        <f>+'eco data'!D24</f>
        <v>-0.46300000000000002</v>
      </c>
      <c r="E20" s="15">
        <f>rates!M18</f>
        <v>-0.75774930264993023</v>
      </c>
      <c r="F20" s="15">
        <f>+D20-E20</f>
        <v>0.29474930264993021</v>
      </c>
      <c r="G20" s="11" t="str">
        <f>+IF(D20-E20&lt;-0.5,"easy",+IF(D20-E20&gt;0.5,"tight","fair"))</f>
        <v>fair</v>
      </c>
      <c r="H20" s="11"/>
      <c r="I20" s="20" t="s">
        <v>965</v>
      </c>
      <c r="J20" s="11"/>
      <c r="K20" s="11" t="s">
        <v>974</v>
      </c>
      <c r="L20" s="21"/>
      <c r="M20" s="11" t="s">
        <v>971</v>
      </c>
      <c r="N20" s="21"/>
      <c r="O20" s="30" t="s">
        <v>975</v>
      </c>
    </row>
    <row r="21" spans="2:15" x14ac:dyDescent="0.25">
      <c r="B21" s="75">
        <f>+CBs!Q210</f>
        <v>59557.016766667366</v>
      </c>
      <c r="C21" t="s">
        <v>461</v>
      </c>
      <c r="D21" s="15">
        <f ca="1">+'eco data'!D26</f>
        <v>0.95318800000000004</v>
      </c>
      <c r="E21" s="15">
        <f>+rates!M33</f>
        <v>0.98666596931659623</v>
      </c>
      <c r="F21" s="15">
        <f ca="1">+D21-E21</f>
        <v>-3.347796931659619E-2</v>
      </c>
      <c r="G21" s="11" t="str">
        <f ca="1">+IF(D21-E21&lt;-1,"exp",+IF(D21-E21&gt;1,"rich","fair"))</f>
        <v>fair</v>
      </c>
      <c r="H21" s="15"/>
      <c r="I21" s="20" t="s">
        <v>927</v>
      </c>
      <c r="J21" s="11"/>
      <c r="K21" s="11" t="s">
        <v>1017</v>
      </c>
      <c r="L21" s="21"/>
      <c r="M21" s="11" t="s">
        <v>1020</v>
      </c>
      <c r="N21" s="21"/>
      <c r="O21" s="30" t="s">
        <v>1027</v>
      </c>
    </row>
    <row r="22" spans="2:15" x14ac:dyDescent="0.25">
      <c r="C22" t="s">
        <v>462</v>
      </c>
      <c r="D22" s="15">
        <f>100/'eco data'!D28</f>
        <v>7.8417341588481246</v>
      </c>
      <c r="E22" s="15">
        <f ca="1">+D21+4</f>
        <v>4.9531879999999999</v>
      </c>
      <c r="F22" s="15">
        <f ca="1">+D22-E22</f>
        <v>2.8885461588481247</v>
      </c>
      <c r="G22" s="11" t="str">
        <f ca="1">+IF(D22-E22&lt;-1,"exp",+IF(D22-E22&gt;1,"cheap","fair"))</f>
        <v>cheap</v>
      </c>
      <c r="I22" s="11" t="s">
        <v>967</v>
      </c>
      <c r="J22" s="11"/>
      <c r="K22" s="11"/>
      <c r="M22" s="11" t="s">
        <v>1021</v>
      </c>
    </row>
    <row r="23" spans="2:15" x14ac:dyDescent="0.25">
      <c r="I23" s="11" t="s">
        <v>949</v>
      </c>
      <c r="J23" s="11"/>
      <c r="K23" s="11"/>
      <c r="M23" s="7">
        <f ca="1">+'eco data'!D26-'eco data'!D25</f>
        <v>0.68366000000000005</v>
      </c>
    </row>
    <row r="24" spans="2:15" x14ac:dyDescent="0.25">
      <c r="I24" s="11"/>
      <c r="J24" s="11"/>
      <c r="K24" s="11"/>
    </row>
    <row r="25" spans="2:15" x14ac:dyDescent="0.25">
      <c r="B25" s="19" t="str">
        <f>+'eco data'!A43</f>
        <v>UK</v>
      </c>
      <c r="C25" t="s">
        <v>120</v>
      </c>
      <c r="D25" s="15">
        <f>+'eco data'!D45</f>
        <v>6.6</v>
      </c>
      <c r="E25" s="15">
        <f>+rates!AJ3</f>
        <v>-0.22916666666666696</v>
      </c>
      <c r="F25" s="15"/>
      <c r="G25" s="30" t="s">
        <v>1032</v>
      </c>
      <c r="H25" s="11"/>
      <c r="I25" s="11" t="s">
        <v>978</v>
      </c>
      <c r="J25" s="20"/>
      <c r="K25" s="11" t="s">
        <v>1030</v>
      </c>
      <c r="L25" s="21"/>
      <c r="M25" s="11" t="s">
        <v>1034</v>
      </c>
      <c r="N25" s="21"/>
      <c r="O25" s="30" t="s">
        <v>1036</v>
      </c>
    </row>
    <row r="26" spans="2:15" x14ac:dyDescent="0.25">
      <c r="B26" s="38" t="s">
        <v>381</v>
      </c>
      <c r="C26" t="s">
        <v>2</v>
      </c>
      <c r="D26" s="15">
        <f>+'eco data'!D44</f>
        <v>9</v>
      </c>
      <c r="E26" s="15">
        <f>+rates!AK3</f>
        <v>1.8916666666666666</v>
      </c>
      <c r="F26" s="15"/>
      <c r="G26" s="27" t="s">
        <v>925</v>
      </c>
      <c r="H26" s="11"/>
      <c r="I26" s="20" t="s">
        <v>976</v>
      </c>
      <c r="J26" s="20"/>
      <c r="K26" t="s">
        <v>1031</v>
      </c>
      <c r="L26" s="21"/>
      <c r="M26" s="11" t="s">
        <v>982</v>
      </c>
      <c r="N26" s="21"/>
      <c r="O26" s="30" t="s">
        <v>981</v>
      </c>
    </row>
    <row r="27" spans="2:15" x14ac:dyDescent="0.25">
      <c r="B27" s="41">
        <f>+_xll.BDP("cesigbp index", "chg net 1m")</f>
        <v>27.9</v>
      </c>
      <c r="C27" t="s">
        <v>154</v>
      </c>
      <c r="D27" s="15">
        <f>+'eco data'!D48</f>
        <v>4.13</v>
      </c>
      <c r="E27" s="15"/>
      <c r="F27" s="15"/>
      <c r="G27" s="30" t="s">
        <v>602</v>
      </c>
      <c r="H27" s="11"/>
      <c r="I27" s="11" t="s">
        <v>490</v>
      </c>
      <c r="J27" s="20"/>
      <c r="K27" s="11" t="s">
        <v>979</v>
      </c>
      <c r="L27" s="21"/>
      <c r="M27" s="11" t="s">
        <v>983</v>
      </c>
      <c r="N27" s="21"/>
      <c r="O27" s="30" t="s">
        <v>980</v>
      </c>
    </row>
    <row r="28" spans="2:15" x14ac:dyDescent="0.25">
      <c r="B28" s="40" t="s">
        <v>382</v>
      </c>
      <c r="C28" t="s">
        <v>171</v>
      </c>
      <c r="D28" s="45">
        <f>+'eco data'!D46</f>
        <v>-7.63</v>
      </c>
      <c r="E28" s="15"/>
      <c r="F28" s="15"/>
      <c r="G28" s="30" t="s">
        <v>498</v>
      </c>
      <c r="H28" s="11"/>
      <c r="I28" s="11" t="s">
        <v>499</v>
      </c>
      <c r="J28" s="20"/>
      <c r="K28" s="11" t="s">
        <v>603</v>
      </c>
      <c r="L28" s="21"/>
      <c r="M28" s="11" t="s">
        <v>1035</v>
      </c>
      <c r="N28" s="21"/>
      <c r="O28" s="30" t="s">
        <v>1037</v>
      </c>
    </row>
    <row r="29" spans="2:15" x14ac:dyDescent="0.25">
      <c r="B29" s="44">
        <f>+_xll.BDP("gsgbfci index", "chg net 1m")</f>
        <v>-0.11999509999999999</v>
      </c>
      <c r="C29" t="s">
        <v>119</v>
      </c>
      <c r="D29" s="73">
        <f>+'eco data'!D47</f>
        <v>-2.59</v>
      </c>
      <c r="E29" s="15"/>
      <c r="F29" s="15"/>
      <c r="G29" s="30"/>
      <c r="H29" s="11"/>
      <c r="I29" s="11" t="s">
        <v>977</v>
      </c>
      <c r="J29" s="11"/>
      <c r="K29" s="11" t="s">
        <v>1033</v>
      </c>
      <c r="L29" s="21"/>
      <c r="N29" s="21"/>
    </row>
    <row r="30" spans="2:15" x14ac:dyDescent="0.25">
      <c r="B30" s="38" t="s">
        <v>456</v>
      </c>
      <c r="C30" t="s">
        <v>460</v>
      </c>
      <c r="D30" s="15">
        <f>+'eco data'!D50</f>
        <v>1.1537999999999999</v>
      </c>
      <c r="E30" s="15">
        <f>rates!G18</f>
        <v>0.99906729428173091</v>
      </c>
      <c r="F30" s="15">
        <f>+D30-E30</f>
        <v>0.15473270571826903</v>
      </c>
      <c r="G30" s="11" t="str">
        <f>+IF(D30-E30&lt;-0.5,"easy",+IF(D30-E30&gt;0.5,"tight","fair"))</f>
        <v>fair</v>
      </c>
      <c r="H30" s="11"/>
      <c r="I30" s="11" t="s">
        <v>1028</v>
      </c>
      <c r="J30" s="11"/>
      <c r="K30" s="11"/>
      <c r="L30" s="21"/>
      <c r="M30" s="20"/>
      <c r="N30" s="21"/>
    </row>
    <row r="31" spans="2:15" x14ac:dyDescent="0.25">
      <c r="B31" s="75">
        <f>+CBs!R210</f>
        <v>32616.662399999797</v>
      </c>
      <c r="C31" t="s">
        <v>461</v>
      </c>
      <c r="D31" s="15">
        <f ca="1">'eco data'!D52</f>
        <v>1.9979309999999999</v>
      </c>
      <c r="E31" s="15">
        <f>+rates!G33</f>
        <v>3.677624372384936</v>
      </c>
      <c r="F31" s="15">
        <f ca="1">+D31-E31</f>
        <v>-1.6796933723849361</v>
      </c>
      <c r="G31" s="11" t="str">
        <f ca="1">+IF(D31-E31&lt;-1,"exp",+IF(D31-E31&gt;1,"rich","fair"))</f>
        <v>exp</v>
      </c>
      <c r="H31" s="15"/>
      <c r="I31" s="11" t="s">
        <v>1029</v>
      </c>
      <c r="J31" s="11"/>
      <c r="K31" s="11"/>
      <c r="L31" s="21"/>
      <c r="M31" s="20"/>
      <c r="N31" s="21"/>
      <c r="O31" s="82"/>
    </row>
    <row r="32" spans="2:15" x14ac:dyDescent="0.25">
      <c r="C32" t="s">
        <v>462</v>
      </c>
      <c r="D32" s="15">
        <f>100/'eco data'!D54</f>
        <v>9.1135697511319638</v>
      </c>
      <c r="E32" s="15">
        <f ca="1">+D31+4</f>
        <v>5.9979309999999995</v>
      </c>
      <c r="F32" s="15">
        <f ca="1">+D32-E32</f>
        <v>3.1156387511319643</v>
      </c>
      <c r="G32" s="11" t="str">
        <f ca="1">+IF(D32-E32&lt;-1,"exp",+IF(D32-E32&gt;1,"cheap","fair"))</f>
        <v>cheap</v>
      </c>
      <c r="I32" s="11"/>
      <c r="J32" s="11"/>
      <c r="K32" s="11"/>
    </row>
    <row r="33" spans="2:15" x14ac:dyDescent="0.25">
      <c r="I33" s="11"/>
      <c r="J33" s="11"/>
      <c r="K33" s="11"/>
      <c r="M33" s="7">
        <f ca="1">+'eco data'!D52-'eco data'!D51</f>
        <v>0.221252</v>
      </c>
    </row>
    <row r="34" spans="2:15" x14ac:dyDescent="0.25">
      <c r="I34" s="11"/>
      <c r="J34" s="11"/>
      <c r="K34" s="11"/>
    </row>
    <row r="35" spans="2:15" x14ac:dyDescent="0.25">
      <c r="B35" s="19" t="str">
        <f>+'eco data'!A30</f>
        <v>JP</v>
      </c>
      <c r="C35" t="s">
        <v>120</v>
      </c>
      <c r="D35" s="15">
        <f>+'eco data'!D32</f>
        <v>0.4</v>
      </c>
      <c r="E35" s="15">
        <f>+rates!AL3</f>
        <v>-2.5166666666666662</v>
      </c>
      <c r="F35" s="15"/>
      <c r="G35" s="30" t="s">
        <v>1032</v>
      </c>
      <c r="H35" s="11"/>
      <c r="I35" s="20" t="s">
        <v>984</v>
      </c>
      <c r="J35" s="20"/>
      <c r="K35" s="11" t="s">
        <v>383</v>
      </c>
      <c r="L35" s="21"/>
      <c r="M35" s="11" t="s">
        <v>932</v>
      </c>
      <c r="N35" s="21"/>
      <c r="O35" s="30" t="s">
        <v>183</v>
      </c>
    </row>
    <row r="36" spans="2:15" x14ac:dyDescent="0.25">
      <c r="B36" s="38" t="s">
        <v>381</v>
      </c>
      <c r="C36" t="s">
        <v>2</v>
      </c>
      <c r="D36" s="15">
        <f>+'eco data'!D31</f>
        <v>1.2</v>
      </c>
      <c r="E36" s="15">
        <f>+rates!AM3</f>
        <v>4.166666666666663E-2</v>
      </c>
      <c r="F36" s="15"/>
      <c r="G36" s="27" t="s">
        <v>497</v>
      </c>
      <c r="H36" s="11"/>
      <c r="I36" s="20" t="s">
        <v>985</v>
      </c>
      <c r="J36" s="20"/>
      <c r="K36" s="11" t="s">
        <v>603</v>
      </c>
      <c r="L36" s="21"/>
      <c r="M36" s="11" t="s">
        <v>934</v>
      </c>
      <c r="N36" s="21"/>
      <c r="O36" s="30" t="s">
        <v>941</v>
      </c>
    </row>
    <row r="37" spans="2:15" x14ac:dyDescent="0.25">
      <c r="B37" s="41" t="str">
        <f>+_xll.BDP("cesijpy index", "chg net 1m")</f>
        <v>#N/A N/A</v>
      </c>
      <c r="C37" t="s">
        <v>154</v>
      </c>
      <c r="D37" s="15">
        <f>+'eco data'!D35</f>
        <v>2.73</v>
      </c>
      <c r="E37" s="15"/>
      <c r="F37" s="15"/>
      <c r="G37" s="30" t="s">
        <v>489</v>
      </c>
      <c r="H37" s="11"/>
      <c r="I37" s="11" t="s">
        <v>490</v>
      </c>
      <c r="J37" s="20"/>
      <c r="K37" s="11"/>
      <c r="L37" s="21"/>
      <c r="M37" s="11" t="s">
        <v>935</v>
      </c>
      <c r="N37" s="21"/>
      <c r="O37" s="30"/>
    </row>
    <row r="38" spans="2:15" x14ac:dyDescent="0.25">
      <c r="B38" s="40" t="s">
        <v>382</v>
      </c>
      <c r="C38" t="s">
        <v>171</v>
      </c>
      <c r="D38" s="45">
        <f>+'eco data'!D33</f>
        <v>-6.36</v>
      </c>
      <c r="E38" s="15"/>
      <c r="F38" s="15"/>
      <c r="G38" s="30" t="s">
        <v>494</v>
      </c>
      <c r="H38" s="11"/>
      <c r="I38" s="11" t="s">
        <v>986</v>
      </c>
      <c r="J38" s="20"/>
      <c r="K38" s="11"/>
      <c r="L38" s="21"/>
      <c r="M38" s="11" t="s">
        <v>933</v>
      </c>
      <c r="N38" s="21"/>
    </row>
    <row r="39" spans="2:15" x14ac:dyDescent="0.25">
      <c r="B39" s="44">
        <f>+_xll.BDP("gsjpfci index", "chg net 1m")</f>
        <v>-0.34999849999999999</v>
      </c>
      <c r="C39" t="s">
        <v>119</v>
      </c>
      <c r="D39" s="43">
        <f>+'eco data'!D34</f>
        <v>2.86</v>
      </c>
      <c r="E39" s="15"/>
      <c r="F39" s="15"/>
      <c r="G39" s="30"/>
      <c r="H39" s="11"/>
      <c r="I39" s="20" t="s">
        <v>1038</v>
      </c>
      <c r="J39" s="11"/>
      <c r="K39" s="20"/>
      <c r="L39" s="21"/>
      <c r="N39" s="21"/>
    </row>
    <row r="40" spans="2:15" x14ac:dyDescent="0.25">
      <c r="B40" s="38" t="s">
        <v>457</v>
      </c>
      <c r="C40" t="s">
        <v>460</v>
      </c>
      <c r="D40" s="15">
        <f>+'eco data'!D37</f>
        <v>-1.754E-2</v>
      </c>
      <c r="E40" s="15">
        <f>+rates!I18</f>
        <v>-1.4161262203626224</v>
      </c>
      <c r="F40" s="15">
        <f>+D40-E40</f>
        <v>1.3985862203626223</v>
      </c>
      <c r="G40" s="11" t="str">
        <f>+IF(D40-E40&lt;-0.5,"easy",+IF(D40-E40&gt;0.5,"tight","fair"))</f>
        <v>tight</v>
      </c>
      <c r="H40" s="11"/>
      <c r="I40" s="11"/>
      <c r="J40" s="11"/>
      <c r="K40" s="11"/>
      <c r="L40" s="21"/>
      <c r="M40" s="20"/>
      <c r="N40" s="21"/>
    </row>
    <row r="41" spans="2:15" x14ac:dyDescent="0.25">
      <c r="B41" s="75">
        <f>+CBs!S210</f>
        <v>34430.761333332397</v>
      </c>
      <c r="C41" t="s">
        <v>461</v>
      </c>
      <c r="D41" s="15">
        <f>'eco data'!D39</f>
        <v>0.25</v>
      </c>
      <c r="E41" s="15">
        <f>+rates!I33</f>
        <v>0.28048122036262252</v>
      </c>
      <c r="F41" s="15">
        <f>+D41-E41</f>
        <v>-3.0481220362622519E-2</v>
      </c>
      <c r="G41" s="11" t="str">
        <f>+IF(D41-E41&lt;-1,"exp",+IF(D41-E41&gt;1,"rich","fair"))</f>
        <v>fair</v>
      </c>
      <c r="H41" s="15"/>
      <c r="I41" s="11"/>
      <c r="J41" s="11"/>
      <c r="K41" s="11"/>
      <c r="L41" s="21"/>
      <c r="M41" s="20"/>
      <c r="N41" s="21"/>
      <c r="O41" s="82"/>
    </row>
    <row r="42" spans="2:15" x14ac:dyDescent="0.25">
      <c r="C42" t="s">
        <v>462</v>
      </c>
      <c r="D42" s="15">
        <f>100/'eco data'!D41</f>
        <v>6.6831320157047012</v>
      </c>
      <c r="E42" s="15">
        <f>+D41+4</f>
        <v>4.25</v>
      </c>
      <c r="F42" s="15">
        <f>+D42-E42</f>
        <v>2.4331320157047012</v>
      </c>
      <c r="G42" s="11" t="str">
        <f>+IF(D42-E42&lt;-1,"exp",+IF(D42-E42&gt;1,"cheap","fair"))</f>
        <v>cheap</v>
      </c>
      <c r="I42" s="11"/>
      <c r="J42" s="11"/>
      <c r="K42" s="11"/>
      <c r="M42" s="7">
        <f>+'eco data'!D39-'eco data'!D38</f>
        <v>0.30199999999999999</v>
      </c>
    </row>
    <row r="43" spans="2:15" x14ac:dyDescent="0.25">
      <c r="E43" s="15"/>
      <c r="I43" s="11"/>
      <c r="J43" s="11"/>
      <c r="K43" s="11"/>
    </row>
    <row r="44" spans="2:15" x14ac:dyDescent="0.25">
      <c r="I44" s="11"/>
      <c r="J44" s="11"/>
      <c r="K44" s="11"/>
    </row>
    <row r="45" spans="2:15" x14ac:dyDescent="0.25">
      <c r="B45" s="19" t="str">
        <f>+'eco data'!S17</f>
        <v>Chi</v>
      </c>
      <c r="C45" t="s">
        <v>120</v>
      </c>
      <c r="D45" s="32">
        <f>+'eco data'!V19</f>
        <v>4.8</v>
      </c>
      <c r="E45" s="15">
        <f>+rates!AN3</f>
        <v>4.9249999999999998</v>
      </c>
      <c r="F45" s="15"/>
      <c r="G45" s="30" t="s">
        <v>493</v>
      </c>
      <c r="H45" s="11"/>
      <c r="I45" s="11" t="s">
        <v>992</v>
      </c>
      <c r="J45" s="20"/>
      <c r="K45" s="11" t="s">
        <v>604</v>
      </c>
      <c r="L45" s="21"/>
      <c r="M45" s="11" t="s">
        <v>1040</v>
      </c>
      <c r="N45" s="21"/>
      <c r="O45" s="30" t="s">
        <v>183</v>
      </c>
    </row>
    <row r="46" spans="2:15" x14ac:dyDescent="0.25">
      <c r="B46" s="38" t="s">
        <v>381</v>
      </c>
      <c r="C46" t="s">
        <v>2</v>
      </c>
      <c r="D46" s="15">
        <f>+'eco data'!V18</f>
        <v>1.5</v>
      </c>
      <c r="E46" s="15">
        <f>+rates!AO3</f>
        <v>2.4041666666666668</v>
      </c>
      <c r="F46" s="15"/>
      <c r="G46" s="27" t="s">
        <v>497</v>
      </c>
      <c r="H46" s="11"/>
      <c r="I46" s="11" t="s">
        <v>987</v>
      </c>
      <c r="J46" s="20"/>
      <c r="K46" s="11" t="s">
        <v>183</v>
      </c>
      <c r="L46" s="21"/>
      <c r="M46" s="11" t="s">
        <v>994</v>
      </c>
      <c r="N46" s="21"/>
      <c r="O46" s="30" t="s">
        <v>1043</v>
      </c>
    </row>
    <row r="47" spans="2:15" x14ac:dyDescent="0.25">
      <c r="B47" s="41">
        <f>+_xll.BDP("cesicny index", "chg net 1m")</f>
        <v>-2.5999979999999998</v>
      </c>
      <c r="C47" t="s">
        <v>154</v>
      </c>
      <c r="D47" s="15">
        <f>+'eco data'!V22</f>
        <v>3.96</v>
      </c>
      <c r="E47" s="15"/>
      <c r="F47" s="15"/>
      <c r="G47" s="30" t="s">
        <v>602</v>
      </c>
      <c r="H47" s="11"/>
      <c r="I47" s="11" t="s">
        <v>991</v>
      </c>
      <c r="J47" s="20"/>
      <c r="K47" s="11"/>
      <c r="L47" s="21"/>
      <c r="M47" s="11" t="s">
        <v>943</v>
      </c>
      <c r="N47" s="21"/>
      <c r="O47" s="30" t="s">
        <v>940</v>
      </c>
    </row>
    <row r="48" spans="2:15" x14ac:dyDescent="0.25">
      <c r="B48" s="40" t="s">
        <v>382</v>
      </c>
      <c r="C48" t="s">
        <v>171</v>
      </c>
      <c r="D48" s="42">
        <f>+'eco data'!V20</f>
        <v>-3.83</v>
      </c>
      <c r="E48" s="15"/>
      <c r="F48" s="15"/>
      <c r="G48" s="30" t="s">
        <v>498</v>
      </c>
      <c r="H48" s="11"/>
      <c r="I48" s="11" t="s">
        <v>988</v>
      </c>
      <c r="J48" s="20"/>
      <c r="K48" s="11"/>
      <c r="L48" s="21"/>
      <c r="M48" s="11" t="s">
        <v>942</v>
      </c>
      <c r="N48" s="21"/>
      <c r="O48" s="30" t="s">
        <v>993</v>
      </c>
    </row>
    <row r="49" spans="2:14" x14ac:dyDescent="0.25">
      <c r="B49" s="44">
        <f>+_xll.BDP("gscnfci index", "chg net 1m")</f>
        <v>0.52999879999999999</v>
      </c>
      <c r="C49" t="s">
        <v>119</v>
      </c>
      <c r="D49" s="43">
        <f>+'eco data'!V21</f>
        <v>1.77</v>
      </c>
      <c r="E49" s="15"/>
      <c r="F49" s="15"/>
      <c r="G49" s="30"/>
      <c r="H49" s="11"/>
      <c r="I49" s="11" t="s">
        <v>989</v>
      </c>
      <c r="J49" s="20"/>
      <c r="K49" s="20"/>
      <c r="L49" s="21"/>
      <c r="M49" s="11" t="s">
        <v>1041</v>
      </c>
      <c r="N49" s="21"/>
    </row>
    <row r="50" spans="2:14" x14ac:dyDescent="0.25">
      <c r="B50" s="38" t="s">
        <v>453</v>
      </c>
      <c r="C50" t="s">
        <v>460</v>
      </c>
      <c r="D50" s="15">
        <f>+'eco data'!V24</f>
        <v>2.3050000000000002</v>
      </c>
      <c r="E50" s="15">
        <f>+rates!K18</f>
        <v>2.1000000000000032</v>
      </c>
      <c r="F50" s="15">
        <f>+D50-E50</f>
        <v>0.20499999999999696</v>
      </c>
      <c r="G50" s="11" t="str">
        <f>+IF(D50-E50&lt;-0.5,"easy",+IF(D50-E50&gt;0.5,"tight","fair"))</f>
        <v>fair</v>
      </c>
      <c r="H50" s="11"/>
      <c r="I50" s="11" t="s">
        <v>990</v>
      </c>
      <c r="J50" s="20"/>
      <c r="K50" s="20"/>
      <c r="L50" s="21"/>
      <c r="M50" s="11" t="s">
        <v>995</v>
      </c>
      <c r="N50" s="21"/>
    </row>
    <row r="51" spans="2:14" x14ac:dyDescent="0.25">
      <c r="B51" s="76">
        <f>+CBs!T210</f>
        <v>-22552.278233334422</v>
      </c>
      <c r="C51" t="s">
        <v>461</v>
      </c>
      <c r="D51" s="15">
        <f>'eco data'!V26</f>
        <v>2.84</v>
      </c>
      <c r="E51" s="15">
        <f>+rates!K33</f>
        <v>5.8004166666666634</v>
      </c>
      <c r="F51" s="15">
        <f>+D51-E51</f>
        <v>-2.9604166666666636</v>
      </c>
      <c r="G51" s="11" t="str">
        <f>+IF(D51-E51&lt;-1,"exp",+IF(D51-E51&gt;1,"rich","fair"))</f>
        <v>exp</v>
      </c>
      <c r="I51" s="11" t="s">
        <v>1039</v>
      </c>
      <c r="J51" s="11"/>
      <c r="K51" s="11"/>
      <c r="M51" s="11" t="s">
        <v>1042</v>
      </c>
    </row>
    <row r="52" spans="2:14" x14ac:dyDescent="0.25">
      <c r="C52" t="s">
        <v>462</v>
      </c>
      <c r="D52" s="15">
        <f>100/'eco data'!V28</f>
        <v>8.4053088370936155</v>
      </c>
      <c r="E52" s="15">
        <f>+D51+4</f>
        <v>6.84</v>
      </c>
      <c r="F52" s="15">
        <f>+D52-E52</f>
        <v>1.5653088370936157</v>
      </c>
      <c r="G52" s="11" t="str">
        <f>+IF(D52-E52&lt;-1,"exp",+IF(D52-E52&gt;1,"cheap","fair"))</f>
        <v>cheap</v>
      </c>
      <c r="J52" s="11"/>
      <c r="K52" s="11"/>
      <c r="M52" s="7">
        <f>+'eco data'!V26-'eco data'!V25</f>
        <v>0.63899999999999979</v>
      </c>
    </row>
    <row r="53" spans="2:14" x14ac:dyDescent="0.25">
      <c r="D53" s="15"/>
      <c r="E53" s="15"/>
      <c r="G53" s="11"/>
      <c r="H53" s="11"/>
      <c r="I53" s="11"/>
      <c r="K53" s="21"/>
      <c r="L53" s="21"/>
      <c r="N53" s="21"/>
    </row>
    <row r="54" spans="2:14" x14ac:dyDescent="0.25">
      <c r="D54" s="11"/>
      <c r="E54" s="11"/>
      <c r="F54" s="11"/>
      <c r="G54" s="8"/>
      <c r="J54" s="8"/>
      <c r="K54" s="8"/>
      <c r="N54" s="11"/>
    </row>
    <row r="55" spans="2:14" x14ac:dyDescent="0.25">
      <c r="I55" s="11"/>
      <c r="J55" s="19"/>
      <c r="N55" s="11"/>
    </row>
    <row r="56" spans="2:14" x14ac:dyDescent="0.25">
      <c r="N56" s="11"/>
    </row>
    <row r="57" spans="2:14" x14ac:dyDescent="0.25">
      <c r="N57" s="11"/>
    </row>
    <row r="58" spans="2:14" x14ac:dyDescent="0.25">
      <c r="N58" s="11"/>
    </row>
    <row r="59" spans="2:14" x14ac:dyDescent="0.25">
      <c r="D59" s="34"/>
      <c r="E59" s="34"/>
      <c r="F59" s="34"/>
    </row>
  </sheetData>
  <phoneticPr fontId="42" type="noConversion"/>
  <conditionalFormatting sqref="I53:I55 K51:K54 N51:N58 E54:F54 E53 D53:D54">
    <cfRule type="cellIs" dxfId="183" priority="187" operator="lessThan">
      <formula>0</formula>
    </cfRule>
    <cfRule type="cellIs" dxfId="182" priority="188" operator="greaterThan">
      <formula>0</formula>
    </cfRule>
  </conditionalFormatting>
  <conditionalFormatting sqref="G5:G8 G34:G38">
    <cfRule type="cellIs" dxfId="181" priority="185" operator="equal">
      <formula>"exp"</formula>
    </cfRule>
    <cfRule type="cellIs" dxfId="180" priority="186" operator="equal">
      <formula>"cheap"</formula>
    </cfRule>
  </conditionalFormatting>
  <conditionalFormatting sqref="J52:J54 G53:G54 O51:O58">
    <cfRule type="cellIs" dxfId="179" priority="183" operator="lessThan">
      <formula>-8</formula>
    </cfRule>
    <cfRule type="cellIs" dxfId="178" priority="184" operator="greaterThan">
      <formula>8</formula>
    </cfRule>
  </conditionalFormatting>
  <conditionalFormatting sqref="J52:J54">
    <cfRule type="cellIs" dxfId="177" priority="181" operator="lessThan">
      <formula>-1.75</formula>
    </cfRule>
    <cfRule type="cellIs" dxfId="176" priority="182" operator="greaterThan">
      <formula>1.75</formula>
    </cfRule>
  </conditionalFormatting>
  <conditionalFormatting sqref="G13">
    <cfRule type="cellIs" dxfId="175" priority="159" operator="equal">
      <formula>"exp"</formula>
    </cfRule>
    <cfRule type="cellIs" dxfId="174" priority="160" operator="equal">
      <formula>"cheap"</formula>
    </cfRule>
  </conditionalFormatting>
  <conditionalFormatting sqref="D7 D19 D45 D28 D51 D31 D41 D11">
    <cfRule type="cellIs" dxfId="173" priority="189" operator="equal">
      <formula>#REF!</formula>
    </cfRule>
    <cfRule type="cellIs" dxfId="172" priority="190" operator="equal">
      <formula>#REF!</formula>
    </cfRule>
  </conditionalFormatting>
  <conditionalFormatting sqref="D17 D40 D12 D32 D42 E20:E21 E30:E31 E40:E41 E50:E51 E11 D10:E10 D46:D47">
    <cfRule type="cellIs" dxfId="171" priority="191" operator="equal">
      <formula>#REF!</formula>
    </cfRule>
    <cfRule type="cellIs" dxfId="170" priority="192" operator="equal">
      <formula>#REF!</formula>
    </cfRule>
  </conditionalFormatting>
  <conditionalFormatting sqref="G15">
    <cfRule type="cellIs" dxfId="169" priority="81" operator="equal">
      <formula>"exp"</formula>
    </cfRule>
    <cfRule type="cellIs" dxfId="168" priority="82" operator="equal">
      <formula>"cheap"</formula>
    </cfRule>
  </conditionalFormatting>
  <conditionalFormatting sqref="G25">
    <cfRule type="cellIs" dxfId="167" priority="79" operator="equal">
      <formula>"exp"</formula>
    </cfRule>
    <cfRule type="cellIs" dxfId="166" priority="80" operator="equal">
      <formula>"cheap"</formula>
    </cfRule>
  </conditionalFormatting>
  <conditionalFormatting sqref="G35">
    <cfRule type="cellIs" dxfId="165" priority="77" operator="equal">
      <formula>"exp"</formula>
    </cfRule>
    <cfRule type="cellIs" dxfId="164" priority="78" operator="equal">
      <formula>"cheap"</formula>
    </cfRule>
  </conditionalFormatting>
  <conditionalFormatting sqref="G45">
    <cfRule type="cellIs" dxfId="163" priority="75" operator="equal">
      <formula>"exp"</formula>
    </cfRule>
    <cfRule type="cellIs" dxfId="162" priority="76" operator="equal">
      <formula>"cheap"</formula>
    </cfRule>
  </conditionalFormatting>
  <conditionalFormatting sqref="F11:F12">
    <cfRule type="cellIs" dxfId="161" priority="53" operator="equal">
      <formula>#REF!</formula>
    </cfRule>
    <cfRule type="cellIs" dxfId="160" priority="54" operator="equal">
      <formula>#REF!</formula>
    </cfRule>
  </conditionalFormatting>
  <conditionalFormatting sqref="F11:F12">
    <cfRule type="cellIs" dxfId="159" priority="51" operator="lessThan">
      <formula>-0.2</formula>
    </cfRule>
    <cfRule type="cellIs" dxfId="158" priority="52" operator="greaterThan">
      <formula>0.2</formula>
    </cfRule>
  </conditionalFormatting>
  <conditionalFormatting sqref="F21:F22">
    <cfRule type="cellIs" dxfId="157" priority="45" operator="equal">
      <formula>#REF!</formula>
    </cfRule>
    <cfRule type="cellIs" dxfId="156" priority="46" operator="equal">
      <formula>#REF!</formula>
    </cfRule>
  </conditionalFormatting>
  <conditionalFormatting sqref="F21:F22">
    <cfRule type="cellIs" dxfId="155" priority="43" operator="lessThan">
      <formula>-0.2</formula>
    </cfRule>
    <cfRule type="cellIs" dxfId="154" priority="44" operator="greaterThan">
      <formula>0.2</formula>
    </cfRule>
  </conditionalFormatting>
  <conditionalFormatting sqref="F31:F32">
    <cfRule type="cellIs" dxfId="153" priority="37" operator="equal">
      <formula>#REF!</formula>
    </cfRule>
    <cfRule type="cellIs" dxfId="152" priority="38" operator="equal">
      <formula>#REF!</formula>
    </cfRule>
  </conditionalFormatting>
  <conditionalFormatting sqref="F31:F32">
    <cfRule type="cellIs" dxfId="151" priority="35" operator="lessThan">
      <formula>-0.2</formula>
    </cfRule>
    <cfRule type="cellIs" dxfId="150" priority="36" operator="greaterThan">
      <formula>0.2</formula>
    </cfRule>
  </conditionalFormatting>
  <conditionalFormatting sqref="F41:F42">
    <cfRule type="cellIs" dxfId="149" priority="29" operator="equal">
      <formula>#REF!</formula>
    </cfRule>
    <cfRule type="cellIs" dxfId="148" priority="30" operator="equal">
      <formula>#REF!</formula>
    </cfRule>
  </conditionalFormatting>
  <conditionalFormatting sqref="F41:F42">
    <cfRule type="cellIs" dxfId="147" priority="27" operator="lessThan">
      <formula>-0.2</formula>
    </cfRule>
    <cfRule type="cellIs" dxfId="146" priority="28" operator="greaterThan">
      <formula>0.2</formula>
    </cfRule>
  </conditionalFormatting>
  <conditionalFormatting sqref="F51:F52">
    <cfRule type="cellIs" dxfId="145" priority="21" operator="equal">
      <formula>#REF!</formula>
    </cfRule>
    <cfRule type="cellIs" dxfId="144" priority="22" operator="equal">
      <formula>#REF!</formula>
    </cfRule>
  </conditionalFormatting>
  <conditionalFormatting sqref="F51:F52">
    <cfRule type="cellIs" dxfId="143" priority="19" operator="lessThan">
      <formula>-0.2</formula>
    </cfRule>
    <cfRule type="cellIs" dxfId="142" priority="20" operator="greaterThan">
      <formula>0.2</formula>
    </cfRule>
  </conditionalFormatting>
  <conditionalFormatting sqref="D37">
    <cfRule type="cellIs" dxfId="141" priority="15" operator="equal">
      <formula>#REF!</formula>
    </cfRule>
    <cfRule type="cellIs" dxfId="140" priority="16" operator="equal">
      <formula>#REF!</formula>
    </cfRule>
  </conditionalFormatting>
  <conditionalFormatting sqref="G11:G12">
    <cfRule type="cellIs" dxfId="139" priority="13" operator="equal">
      <formula>"exp"</formula>
    </cfRule>
    <cfRule type="cellIs" dxfId="138" priority="14" operator="equal">
      <formula>"cheap"</formula>
    </cfRule>
  </conditionalFormatting>
  <conditionalFormatting sqref="G21:G22">
    <cfRule type="cellIs" dxfId="137" priority="7" operator="equal">
      <formula>"exp"</formula>
    </cfRule>
    <cfRule type="cellIs" dxfId="136" priority="8" operator="equal">
      <formula>"cheap"</formula>
    </cfRule>
  </conditionalFormatting>
  <conditionalFormatting sqref="G31:G32">
    <cfRule type="cellIs" dxfId="135" priority="5" operator="equal">
      <formula>"exp"</formula>
    </cfRule>
    <cfRule type="cellIs" dxfId="134" priority="6" operator="equal">
      <formula>"cheap"</formula>
    </cfRule>
  </conditionalFormatting>
  <conditionalFormatting sqref="G41:G42">
    <cfRule type="cellIs" dxfId="133" priority="3" operator="equal">
      <formula>"exp"</formula>
    </cfRule>
    <cfRule type="cellIs" dxfId="132" priority="4" operator="equal">
      <formula>"cheap"</formula>
    </cfRule>
  </conditionalFormatting>
  <conditionalFormatting sqref="G51:G52">
    <cfRule type="cellIs" dxfId="131" priority="1" operator="equal">
      <formula>"exp"</formula>
    </cfRule>
    <cfRule type="cellIs" dxfId="130" priority="2" operator="equal">
      <formula>"cheap"</formula>
    </cfRule>
  </conditionalFormatting>
  <pageMargins left="0.42" right="0.25" top="0.39" bottom="0.18" header="0.3" footer="0.17"/>
  <pageSetup scale="6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I124"/>
  <sheetViews>
    <sheetView showGridLines="0" workbookViewId="0">
      <selection activeCell="D8" sqref="D8"/>
    </sheetView>
  </sheetViews>
  <sheetFormatPr defaultRowHeight="15" x14ac:dyDescent="0.25"/>
  <cols>
    <col min="1" max="1" width="8.85546875" customWidth="1"/>
    <col min="2" max="2" width="9.85546875" bestFit="1" customWidth="1"/>
    <col min="3" max="3" width="0.5703125" customWidth="1"/>
    <col min="4" max="4" width="9" bestFit="1" customWidth="1"/>
    <col min="5" max="5" width="10.7109375" bestFit="1" customWidth="1"/>
    <col min="6" max="7" width="8.140625" customWidth="1"/>
    <col min="8" max="8" width="1.28515625" customWidth="1"/>
    <col min="9" max="9" width="11.28515625" customWidth="1"/>
    <col min="10" max="10" width="8.85546875" customWidth="1"/>
    <col min="11" max="11" width="9.85546875" bestFit="1" customWidth="1"/>
    <col min="12" max="12" width="0.5703125" customWidth="1"/>
    <col min="13" max="13" width="9" bestFit="1" customWidth="1"/>
    <col min="14" max="14" width="10.7109375" bestFit="1" customWidth="1"/>
    <col min="15" max="16" width="8.140625" customWidth="1"/>
    <col min="17" max="17" width="1.28515625" customWidth="1"/>
    <col min="18" max="18" width="11.42578125" customWidth="1"/>
    <col min="19" max="19" width="8.85546875" customWidth="1"/>
    <col min="20" max="20" width="9.85546875" bestFit="1" customWidth="1"/>
    <col min="21" max="21" width="0.140625" customWidth="1"/>
    <col min="22" max="22" width="10.5703125" bestFit="1" customWidth="1"/>
    <col min="23" max="23" width="10.85546875" bestFit="1" customWidth="1"/>
    <col min="24" max="25" width="8.140625" customWidth="1"/>
    <col min="26" max="26" width="1.28515625" customWidth="1"/>
    <col min="31" max="31" width="13.5703125" bestFit="1" customWidth="1"/>
    <col min="34" max="34" width="14.5703125" bestFit="1" customWidth="1"/>
  </cols>
  <sheetData>
    <row r="1" spans="1:30" x14ac:dyDescent="0.25">
      <c r="B1" t="s">
        <v>0</v>
      </c>
      <c r="E1" s="3">
        <f ca="1">+TODAY()</f>
        <v>44673</v>
      </c>
      <c r="N1" s="3"/>
      <c r="W1" s="3"/>
    </row>
    <row r="2" spans="1:30" ht="5.25" customHeight="1" x14ac:dyDescent="0.25"/>
    <row r="3" spans="1:30" x14ac:dyDescent="0.25">
      <c r="A3" s="19" t="s">
        <v>1</v>
      </c>
      <c r="B3" s="13">
        <f>+SUM(A4:A8)</f>
        <v>-2</v>
      </c>
      <c r="C3" s="1"/>
      <c r="D3" s="1"/>
      <c r="E3" s="2" t="s">
        <v>96</v>
      </c>
      <c r="F3" s="2" t="s">
        <v>97</v>
      </c>
      <c r="G3" s="2" t="s">
        <v>98</v>
      </c>
      <c r="H3" s="11"/>
      <c r="J3" s="19" t="s">
        <v>20</v>
      </c>
      <c r="K3" s="13">
        <f>+SUM(J4:J8)</f>
        <v>-1</v>
      </c>
      <c r="L3" s="1"/>
      <c r="M3" s="1"/>
      <c r="N3" s="2" t="s">
        <v>96</v>
      </c>
      <c r="O3" s="2" t="s">
        <v>97</v>
      </c>
      <c r="P3" s="2" t="s">
        <v>98</v>
      </c>
      <c r="Q3" s="11"/>
      <c r="S3" s="19" t="s">
        <v>140</v>
      </c>
      <c r="T3" s="13">
        <f>+SUM(S4:S8)</f>
        <v>-2</v>
      </c>
      <c r="U3" s="1"/>
      <c r="V3" s="1"/>
      <c r="W3" s="2" t="s">
        <v>96</v>
      </c>
      <c r="X3" s="2" t="s">
        <v>97</v>
      </c>
      <c r="Y3" s="2" t="s">
        <v>98</v>
      </c>
      <c r="Z3" s="11"/>
      <c r="AC3" s="48" t="s">
        <v>394</v>
      </c>
      <c r="AD3" s="15">
        <f>_xll.BDP("EUdb60de index","px last")</f>
        <v>69.3</v>
      </c>
    </row>
    <row r="4" spans="1:30" x14ac:dyDescent="0.25">
      <c r="A4" s="8">
        <f>+IF(D4&gt;2.5,-1,+IF(D4&lt;1,-1,0))</f>
        <v>-1</v>
      </c>
      <c r="B4" t="s">
        <v>2</v>
      </c>
      <c r="D4" s="15">
        <f>_xll.BDP("gdp dyoy index","px last")</f>
        <v>5.9</v>
      </c>
      <c r="E4" s="11" t="str">
        <f>IF(ISNUMBER(_xll.BDP("gdp dyoy index","CHG neT 5d")),_xll.BDP("gdp dyoy index","CHG neT 5d"),"na")</f>
        <v>na</v>
      </c>
      <c r="F4" s="11" t="str">
        <f>IF(ISNUMBER(_xll.BDP("gdp dyoy index","CHG neT 1m")),_xll.BDP("gdp dyoy index","CHG neT 1m"),"na")</f>
        <v>na</v>
      </c>
      <c r="G4" s="7">
        <f>IF(ISNUMBER(_xll.BDP("gdp dyoy index","CHG neT 1yr")),_xll.BDP("gdp dyoy index","CHG neT 1yr"),"na")</f>
        <v>4.5999999999999996</v>
      </c>
      <c r="H4" s="11"/>
      <c r="J4" s="8">
        <f>+IF(M4&gt;2.5,-1,+IF(M4&lt;1,-1,0))</f>
        <v>-1</v>
      </c>
      <c r="K4" t="s">
        <v>2</v>
      </c>
      <c r="M4" s="15">
        <f>_xll.BDP("ptcphayy INDEX","px last")</f>
        <v>5.5</v>
      </c>
      <c r="N4" s="7" t="str">
        <f>IF(ISNUMBER(_xll.BDP("ptcphayy index","CHG neT 5d")),_xll.BDP("ptcphayy index","CHG neT 5d"),"na")</f>
        <v>na</v>
      </c>
      <c r="O4" s="7">
        <f>IF(ISNUMBER(_xll.BDP("ptcphayy index","CHG neT 1m")),_xll.BDP("ptcphayy index","CHG neT 1m"),"na")</f>
        <v>1.1000000000000001</v>
      </c>
      <c r="P4" s="7">
        <f>IF(ISNUMBER(_xll.BDP("ptcphayy index","CHG neT 1yr")),_xll.BDP("ptcphayy index","CHG neT 1yr"),"na")</f>
        <v>5.4</v>
      </c>
      <c r="Q4" s="11"/>
      <c r="S4" s="8">
        <f>+IF(V4&gt;2.5,-1,+IF(V4&lt;1,-1,0))</f>
        <v>-1</v>
      </c>
      <c r="T4" t="s">
        <v>2</v>
      </c>
      <c r="V4" s="15">
        <f>_xll.BDP("grcp20yy INDEX","PX LAST")</f>
        <v>7.3</v>
      </c>
      <c r="W4" s="7" t="str">
        <f>IF(ISNUMBER(_xll.BDP("grcp20yy index","CHG neT 5d")),_xll.BDP("grcp20yy index","CHG neT 5d"),"na")</f>
        <v>na</v>
      </c>
      <c r="X4" s="7">
        <f>IF(ISNUMBER(_xll.BDP("grcp20yy index","CHG neT 1m")),_xll.BDP("grcp20yy index","CHG neT 1m"),"na")</f>
        <v>2.2000000000000002</v>
      </c>
      <c r="Y4" s="7">
        <f>IF(ISNUMBER(_xll.BDP("grcp20yy index","CHG neT 1yr")),_xll.BDP("grcp20yy index","CHG neT 1yr"),"na")</f>
        <v>5.6</v>
      </c>
      <c r="Z4" s="11"/>
      <c r="AC4" s="48" t="s">
        <v>395</v>
      </c>
      <c r="AD4" s="15">
        <f>_xll.BDP("EUdb60fr index","px last")</f>
        <v>112.9</v>
      </c>
    </row>
    <row r="5" spans="1:30" x14ac:dyDescent="0.25">
      <c r="A5" s="8">
        <f>+IF(D5&gt;2.5,1,+IF(D5&lt;0.5,-1,0))</f>
        <v>1</v>
      </c>
      <c r="B5" t="s">
        <v>120</v>
      </c>
      <c r="D5" s="15">
        <f>_xll.BDP("gdp cyoy index","px last")</f>
        <v>5.5</v>
      </c>
      <c r="E5" s="11" t="str">
        <f>IF(ISNUMBER(_xll.BDP("gdp cqoq index","CHG neT 5d")),_xll.BDP("gdp cqoq index","CHG neT 5d"),"na")</f>
        <v>na</v>
      </c>
      <c r="F5" s="11" t="str">
        <f>IF(ISNUMBER(_xll.BDP("gdp cqoq index","CHG neT 1m")),_xll.BDP("gdp cqoq index","CHG neT 1m"),"na")</f>
        <v>na</v>
      </c>
      <c r="G5" s="7">
        <f>IF(ISNUMBER(_xll.BDP("gdp cqoq index","CHG neT 1yr")),_xll.BDP("gdp cqoq index","CHG neT 1yr"),"na")</f>
        <v>2.4</v>
      </c>
      <c r="H5" s="11"/>
      <c r="J5" s="8">
        <f>+IF(M5&gt;2.5,1,+IF(M5&lt;0.5,-1,0))</f>
        <v>1</v>
      </c>
      <c r="K5" t="s">
        <v>120</v>
      </c>
      <c r="M5" s="15">
        <f>_xll.BDP("ptgdpyoy index","px last")</f>
        <v>5.8</v>
      </c>
      <c r="N5" s="7" t="str">
        <f>IF(ISNUMBER(_xll.BDP("ptgdpyoy index","CHG neT 5d")),_xll.BDP("ptgdpyoy index","CHG neT 5d"),"na")</f>
        <v>na</v>
      </c>
      <c r="O5" s="7" t="str">
        <f>IF(ISNUMBER(_xll.BDP("ptgdpyoy index","CHG neT 1m")),_xll.BDP("ptgdpyoy index","CHG neT 1m"),"na")</f>
        <v>na</v>
      </c>
      <c r="P5" s="7">
        <f>IF(ISNUMBER(_xll.BDP("ptgdpyoy index","CHG neT 1yr")),_xll.BDP("ptgdpyoy index","CHG neT 1yr"),"na")</f>
        <v>12.6</v>
      </c>
      <c r="Q5" s="11"/>
      <c r="S5" s="8">
        <f>+IF(V5&gt;2.5,1,+IF(V5&lt;0.5,-1,0))</f>
        <v>0</v>
      </c>
      <c r="T5" t="s">
        <v>120</v>
      </c>
      <c r="V5" s="15">
        <f>_xll.BDP("gdpb95yy index","px last")</f>
        <v>1.8</v>
      </c>
      <c r="W5" s="7" t="str">
        <f>IF(ISNUMBER(_xll.BDP("ehgddey index","CHG neT 5d")),_xll.BDP("ehgddey index","CHG neT 5d"),"na")</f>
        <v>na</v>
      </c>
      <c r="X5" s="7" t="str">
        <f>IF(ISNUMBER(_xll.BDP("ehgddey index","CHG neT 1m")),_xll.BDP("ehgddey index","CHG neT 1m"),"na")</f>
        <v>na</v>
      </c>
      <c r="Y5" s="7">
        <f>IF(ISNUMBER(_xll.BDP("ehgddey index","CHG neT 1yr")),_xll.BDP("ehgddey index","CHG neT 1yr"),"na")</f>
        <v>7.5</v>
      </c>
      <c r="Z5" s="11"/>
      <c r="AC5" s="48" t="s">
        <v>396</v>
      </c>
      <c r="AD5" s="15">
        <f>_xll.BDP("EUdb60it index","px last")</f>
        <v>150.80000000000001</v>
      </c>
    </row>
    <row r="6" spans="1:30" x14ac:dyDescent="0.25">
      <c r="A6" s="8">
        <f>+IF(D6&gt;0,1,+IF(D6&lt;-3,-1,0))</f>
        <v>-1</v>
      </c>
      <c r="B6" t="s">
        <v>127</v>
      </c>
      <c r="D6" s="16">
        <f>_xll.BDP("ehbbus INDEX","PX LAST")</f>
        <v>-7.24</v>
      </c>
      <c r="E6" s="11" t="str">
        <f>IF(ISNUMBER(_xll.BDP("ehbbus index","CHG neT 5d")),_xll.BDP("ehbbus index","CHG neT 5d"),"na")</f>
        <v>na</v>
      </c>
      <c r="F6" s="11" t="str">
        <f>IF(ISNUMBER(_xll.BDP("ehbbus index","CHG neT 1m")),_xll.BDP("ehbbus index","CHG neT 1m"),"na")</f>
        <v>na</v>
      </c>
      <c r="G6" s="7">
        <f>IF(ISNUMBER(_xll.BDP("ehbbus index","CHG neT 1yr")),_xll.BDP("ehbbus index","CHG neT 1yr"),"na")</f>
        <v>9.59</v>
      </c>
      <c r="H6" s="11"/>
      <c r="J6" s="8">
        <f>+IF(M6&gt;0,1,+IF(M6&lt;-3,-1,0))</f>
        <v>0</v>
      </c>
      <c r="K6" t="s">
        <v>127</v>
      </c>
      <c r="M6" s="16">
        <f>_xll.BDP("EUbdport index","px last")</f>
        <v>-2.8</v>
      </c>
      <c r="N6" s="7" t="str">
        <f>IF(ISNUMBER(_xll.BDP("EUbdport index","CHG neT 5d")),_xll.BDP("EUbdport index","CHG neT 5d"),"na")</f>
        <v>na</v>
      </c>
      <c r="O6" s="7" t="str">
        <f>IF(ISNUMBER(_xll.BDP("EUbdport index","CHG neT 1m")),_xll.BDP("EUbdport index","CHG neT 1m"),"na")</f>
        <v>na</v>
      </c>
      <c r="P6" s="7">
        <f>IF(ISNUMBER(_xll.BDP("EUbdport index","CHG neT 1yr")),_xll.BDP("EUbdport index","CHG neT 1yr"),"na")</f>
        <v>3</v>
      </c>
      <c r="Q6" s="11"/>
      <c r="S6" s="8">
        <f>+IF(V6&gt;0,1,+IF(V6&lt;-3,-1,0))</f>
        <v>-1</v>
      </c>
      <c r="T6" t="s">
        <v>127</v>
      </c>
      <c r="V6" s="15">
        <f>_xll.BDP("EUbdger index","px last")</f>
        <v>-3.7</v>
      </c>
      <c r="W6" s="7" t="str">
        <f>IF(ISNUMBER(_xll.BDP("EUbdger index","CHG neT 5d")),_xll.BDP("EUbdger index","CHG neT 5d"),"na")</f>
        <v>na</v>
      </c>
      <c r="X6" s="7" t="str">
        <f>IF(ISNUMBER(_xll.BDP("EUbdger index","CHG neT 1m")),_xll.BDP("EUbdger index","CHG neT 1m"),"na")</f>
        <v>na</v>
      </c>
      <c r="Y6" s="7">
        <f>IF(ISNUMBER(_xll.BDP("EUbdger index","CHG neT 1yr")),_xll.BDP("EUbdger index","CHG neT 1yr"),"na")</f>
        <v>0.6</v>
      </c>
      <c r="Z6" s="11"/>
      <c r="AC6" s="48" t="s">
        <v>397</v>
      </c>
      <c r="AD6" s="15">
        <f>_xll.BDP("EUdb60es index","px last")</f>
        <v>118.4</v>
      </c>
    </row>
    <row r="7" spans="1:30" x14ac:dyDescent="0.25">
      <c r="A7" s="8">
        <f>+IF(D7&gt;0,1,+IF(D7&lt;-3,-1,0))</f>
        <v>-1</v>
      </c>
      <c r="B7" t="s">
        <v>119</v>
      </c>
      <c r="D7" s="15">
        <f>_xll.BDP("ehcaus INDEX","PX LAST")</f>
        <v>-3.42</v>
      </c>
      <c r="E7" s="11" t="str">
        <f>IF(ISNUMBER(_xll.BDP("ehcaus index","CHG neT 5d")),_xll.BDP("ehcaus index","CHG neT 5d"),"na")</f>
        <v>na</v>
      </c>
      <c r="F7" s="11" t="str">
        <f>IF(ISNUMBER(_xll.BDP("ehcaus index","CHG neT 1m")),_xll.BDP("ehcaus index","CHG neT 1m"),"na")</f>
        <v>na</v>
      </c>
      <c r="G7" s="11">
        <f>IF(ISNUMBER(_xll.BDP("ehcaus index","CHG neT 1yr")),_xll.BDP("ehcaus index","CHG neT 1yr"),"na")</f>
        <v>-0.55000000000000004</v>
      </c>
      <c r="H7" s="11"/>
      <c r="J7" s="8">
        <f>+IF(M7&gt;0,1,+IF(M7&lt;-3,-1,0))</f>
        <v>0</v>
      </c>
      <c r="K7" s="17" t="s">
        <v>119</v>
      </c>
      <c r="L7" s="17"/>
      <c r="M7" s="15">
        <f>_xll.BDP("ehcapt INDEX","PX LAST")</f>
        <v>-1.1400000000000001</v>
      </c>
      <c r="N7" s="7" t="str">
        <f>IF(ISNUMBER(_xll.BDP("ehcapt index","CHG neT 5d")),_xll.BDP("ehcapt index","CHG neT 5d"),"na")</f>
        <v>na</v>
      </c>
      <c r="O7" s="7" t="str">
        <f>IF(ISNUMBER(_xll.BDP("ehcapt index","CHG neT 1m")),_xll.BDP("ehcapt index","CHG neT 1m"),"na")</f>
        <v>na</v>
      </c>
      <c r="P7" s="7">
        <f>IF(ISNUMBER(_xll.BDP("ehcapt index","CHG neT 1yr")),_xll.BDP("ehcapt index","CHG neT 1yr"),"na")</f>
        <v>-7.0000000000000007E-2</v>
      </c>
      <c r="Q7" s="11"/>
      <c r="S7" s="8">
        <f>+IF(V7&gt;0,1,+IF(V7&lt;-3,-1,0))</f>
        <v>1</v>
      </c>
      <c r="T7" t="s">
        <v>119</v>
      </c>
      <c r="V7" s="16">
        <f>_xll.BDP("ehcade INDEX","PX LAST")</f>
        <v>7.38</v>
      </c>
      <c r="W7" s="7" t="str">
        <f>IF(ISNUMBER(_xll.BDP("ehcade index","CHG neT 5d")),_xll.BDP("ehcade index","CHG neT 5d"),"na")</f>
        <v>na</v>
      </c>
      <c r="X7" s="7" t="str">
        <f>IF(ISNUMBER(_xll.BDP("ehcade index","CHG neT 1m")),_xll.BDP("ehcade index","CHG neT 1m"),"na")</f>
        <v>na</v>
      </c>
      <c r="Y7" s="7">
        <f>IF(ISNUMBER(_xll.BDP("ehcade index","CHG neT 1yr")),_xll.BDP("ehcade index","CHG neT 1yr"),"na")</f>
        <v>0.42</v>
      </c>
      <c r="Z7" s="11"/>
      <c r="AC7" s="48" t="s">
        <v>398</v>
      </c>
      <c r="AD7" s="15">
        <f>_xll.BDP("EUdb60nl index","px last")</f>
        <v>52.1</v>
      </c>
    </row>
    <row r="8" spans="1:30" x14ac:dyDescent="0.25">
      <c r="A8" s="8">
        <f>+IF(D8&gt;4.5,-1,0)</f>
        <v>0</v>
      </c>
      <c r="B8" t="s">
        <v>145</v>
      </c>
      <c r="C8" t="s">
        <v>113</v>
      </c>
      <c r="D8" s="16">
        <f>_xll.BDP(C8,"px last")</f>
        <v>3.8</v>
      </c>
      <c r="E8" s="11">
        <f>IF(ISNUMBER(_xll.BDP(C8,"CHG neT 5d")),_xll.BDP(C8,"CHG neT 5d"),0)</f>
        <v>0</v>
      </c>
      <c r="F8" s="11">
        <f>IF(ISNUMBER(_xll.BDP(C8,"CHG neT 1m")),_xll.BDP(C8,"CHG neT 1m"),0)</f>
        <v>0</v>
      </c>
      <c r="G8" s="11">
        <f>IF(ISNUMBER(_xll.BDP(C8,"CHG neT 1yr")),_xll.BDP(C8,"CHG neT 1yr"),0)</f>
        <v>-2.4</v>
      </c>
      <c r="H8" s="11"/>
      <c r="J8" s="8">
        <f>+IF(M8&gt;4.5,-1,0)</f>
        <v>-1</v>
      </c>
      <c r="K8" t="s">
        <v>145</v>
      </c>
      <c r="L8" t="s">
        <v>112</v>
      </c>
      <c r="M8" s="16">
        <f>_xll.BDP(L8,"px last")</f>
        <v>6.3</v>
      </c>
      <c r="N8" s="7">
        <f>IF(ISNUMBER(_xll.BDP(L8,"CHG neT 5d")),_xll.BDP(L8,"CHG neT 5d"),0)</f>
        <v>0</v>
      </c>
      <c r="O8" s="7">
        <f>IF(ISNUMBER(_xll.BDP(L8,"CHG neT 1m")),_xll.BDP(L8,"CHG neT 1m"),0)</f>
        <v>0</v>
      </c>
      <c r="P8" s="7">
        <f>IF(ISNUMBER(_xll.BDP(L8,"CHG neT 1yr")),_xll.BDP(L8,"CHG neT 1yr"),0)</f>
        <v>-1</v>
      </c>
      <c r="Q8" s="11"/>
      <c r="S8" s="8">
        <f>+IF(V8&gt;4.5,-1,0)</f>
        <v>-1</v>
      </c>
      <c r="T8" t="s">
        <v>145</v>
      </c>
      <c r="U8" t="s">
        <v>146</v>
      </c>
      <c r="V8" s="15">
        <f>_xll.BDP(U8,"px last")</f>
        <v>5.03</v>
      </c>
      <c r="W8" s="7">
        <f>IF(ISNUMBER(_xll.BDP(U8,"CHG neT 5d")),_xll.BDP(U8,"CHG neT 5d"),0)</f>
        <v>0</v>
      </c>
      <c r="X8" s="7">
        <f>IF(ISNUMBER(_xll.BDP(U8,"CHG neT 1m")),_xll.BDP(U8,"CHG neT 1m"),0)</f>
        <v>0</v>
      </c>
      <c r="Y8" s="7">
        <f>IF(ISNUMBER(_xll.BDP(U8,"CHG neT 1yr")),_xll.BDP(U8,"CHG neT 1yr"),0)</f>
        <v>-0.97</v>
      </c>
      <c r="Z8" s="11"/>
      <c r="AC8" s="48" t="s">
        <v>399</v>
      </c>
      <c r="AD8" s="15">
        <f>_xll.BDP("EUdb60gr index","px last")</f>
        <v>193.3</v>
      </c>
    </row>
    <row r="9" spans="1:30" x14ac:dyDescent="0.25">
      <c r="A9" s="8"/>
      <c r="D9" s="16"/>
      <c r="E9" s="11"/>
      <c r="F9" s="11"/>
      <c r="G9" s="11"/>
      <c r="H9" s="11"/>
      <c r="J9" s="8"/>
      <c r="M9" s="16"/>
      <c r="N9" s="7"/>
      <c r="O9" s="7"/>
      <c r="P9" s="7"/>
      <c r="Q9" s="11"/>
      <c r="S9" s="8"/>
      <c r="V9" s="15"/>
      <c r="W9" s="7"/>
      <c r="X9" s="7"/>
      <c r="Y9" s="7"/>
      <c r="Z9" s="11"/>
      <c r="AC9" s="48"/>
      <c r="AD9" s="15"/>
    </row>
    <row r="10" spans="1:30" x14ac:dyDescent="0.25">
      <c r="A10" s="8" t="str">
        <f>+IF(D11&gt;A11+1,"$ tight",+IF(D11&lt;A11-1,"$ loose","$ ok"))</f>
        <v>$ ok</v>
      </c>
      <c r="B10" t="s">
        <v>92</v>
      </c>
      <c r="D10" s="7">
        <f>_xll.BDP("cb3 govt","px last")</f>
        <v>0.79</v>
      </c>
      <c r="E10" s="7">
        <f>IF(ISNUMBER(_xll.BDP("cb3 govt","CHG neT 5d")),_xll.BDP("cb3 govt","CHG neT 5d"),0)</f>
        <v>1.0000000000000009E-2</v>
      </c>
      <c r="F10" s="7">
        <f>IF(ISNUMBER(_xll.BDP("cb3 govt","CHG neT 1m")),_xll.BDP("cb3 govt","CHG neT 1m"),0)</f>
        <v>0.11625000000000008</v>
      </c>
      <c r="G10" s="7" t="str">
        <f>IF(ISNUMBER(_xll.BDP("cb3 govt","CHG neT 1yr")),_xll.BDP("cb3 govt","CHG neT 1yr"),"na")</f>
        <v>na</v>
      </c>
      <c r="H10" s="7">
        <f t="shared" ref="H10:H15" si="0">+IF(AND(E10&gt;0,F10&gt;0,G10&gt;0),1,0)+IF(AND(E10&lt;0,F10&lt;0,G10&lt;0),-1,0)</f>
        <v>1</v>
      </c>
      <c r="J10" s="8" t="str">
        <f>+IF(M11&gt;J11+1,"$ tight",+IF(M11&lt;J11-1,"$ loose","$ ok"))</f>
        <v>$ tight</v>
      </c>
      <c r="K10" t="s">
        <v>92</v>
      </c>
      <c r="M10" s="7">
        <f>_xll.BDP("gtpte3m govt","yld ytm mid")</f>
        <v>-0.60532010260142655</v>
      </c>
      <c r="N10" s="7" t="s">
        <v>128</v>
      </c>
      <c r="O10" s="7" t="s">
        <v>128</v>
      </c>
      <c r="P10" s="7" t="s">
        <v>128</v>
      </c>
      <c r="Q10" s="7">
        <f t="shared" ref="Q10:Q15" si="1">+IF(AND(N10&gt;0,O10&gt;0,P10&gt;0),1,0)+IF(AND(N10&lt;0,O10&lt;0,P10&lt;0),-1,0)</f>
        <v>1</v>
      </c>
      <c r="S10" s="8" t="str">
        <f>+IF(V11&gt;S11+1,"$ tight",+IF(V11&lt;S11-1,"$ loose","$ ok"))</f>
        <v>$ ok</v>
      </c>
      <c r="T10" t="s">
        <v>92</v>
      </c>
      <c r="U10" t="s">
        <v>146</v>
      </c>
      <c r="V10" s="7">
        <f>_xll.BDP("getb1 INDEX","px last")</f>
        <v>-0.69199999999999995</v>
      </c>
      <c r="W10" s="7">
        <f>IF(ISNUMBER(_xll.BDP("getb1 index","CHG neT 5d")),_xll.BDP("getb1 index","CHG neT 5d"),"na")</f>
        <v>-8.9999999999999993E-3</v>
      </c>
      <c r="X10" s="7">
        <f>IF(ISNUMBER(_xll.BDP("getb1 index","CHG neT 1m")),_xll.BDP("getb1 index","CHG neT 1m"),"na")</f>
        <v>3.5999999999999997E-2</v>
      </c>
      <c r="Y10" s="7">
        <f>IF(ISNUMBER(_xll.BDP("getb1 index","CHG neT 1yr")),_xll.BDP("getb1 index","CHG neT 1yr"),"na")</f>
        <v>-5.6000000000000001E-2</v>
      </c>
      <c r="Z10" s="7">
        <f t="shared" ref="Z10:Z15" si="2">+IF(AND(W10&gt;0,X10&gt;0,Y10&gt;0),1,0)+IF(AND(W10&lt;0,X10&lt;0,Y10&lt;0),-1,0)</f>
        <v>0</v>
      </c>
      <c r="AC10" s="48" t="s">
        <v>400</v>
      </c>
      <c r="AD10" s="15">
        <f>_xll.BDP("EUdb60pt index","px last")</f>
        <v>127.4</v>
      </c>
    </row>
    <row r="11" spans="1:30" x14ac:dyDescent="0.25">
      <c r="A11" s="8">
        <f>+rates!E18</f>
        <v>1.0010547419804736</v>
      </c>
      <c r="B11" t="s">
        <v>93</v>
      </c>
      <c r="D11" s="7">
        <f>_xll.BDP("US0003m INDEX","px LAST")</f>
        <v>1.13629</v>
      </c>
      <c r="E11" s="7">
        <f>IF(ISNUMBER(_xll.BDP("us0003m index","CHG neT 5d")),_xll.BDP("us0003m index","CHG neT 5d"),0)</f>
        <v>9.1999999999999998E-2</v>
      </c>
      <c r="F11" s="7">
        <f>IF(ISNUMBER(_xll.BDP("us0003m index","CHG neT 1m")),_xll.BDP("us0003m index","CHG neT 1m"),0)</f>
        <v>0.20229</v>
      </c>
      <c r="G11" s="7">
        <f>IF(ISNUMBER(_xll.BDP("us0003m index","CHG neT 1yr")),_xll.BDP("us0003m index","CHG neT 1yr"),0)</f>
        <v>0.95254000000000005</v>
      </c>
      <c r="H11" s="7">
        <f t="shared" si="0"/>
        <v>1</v>
      </c>
      <c r="J11" s="12">
        <f>+rates!W18</f>
        <v>-1.7209257322175728</v>
      </c>
      <c r="K11" t="s">
        <v>129</v>
      </c>
      <c r="M11" s="7">
        <f>_xll.BDP("lisb3m INDEX","px last")</f>
        <v>0.28999999999999998</v>
      </c>
      <c r="N11" s="7">
        <f>IF(ISNUMBER(_xll.BDP("lisb3m index","CHG neT 5d")),_xll.BDP("lisb3m index","CHG neT 5d"),"na")</f>
        <v>-1E-3</v>
      </c>
      <c r="O11" s="7">
        <f>IF(ISNUMBER(_xll.BDP("lisb3m index","CHG neT 1m")),_xll.BDP("lisb3m index","CHG neT 1m"),"na")</f>
        <v>-1.4999999999999999E-2</v>
      </c>
      <c r="P11" s="7">
        <f>IF(ISNUMBER(_xll.BDP("lisb3m index","CHG neT 1yr")),_xll.BDP("lisb3m index","CHG neT 1yr"),"na")</f>
        <v>7.8E-2</v>
      </c>
      <c r="Q11" s="7">
        <f t="shared" si="1"/>
        <v>0</v>
      </c>
      <c r="S11" s="12">
        <f>+rates!O18</f>
        <v>-0.10447175732217562</v>
      </c>
      <c r="T11" t="s">
        <v>129</v>
      </c>
      <c r="V11" s="7">
        <f>_xll.BDP("EU0003m INDEX","px last")</f>
        <v>6.2140000000000001E-2</v>
      </c>
      <c r="W11" s="7">
        <f>IF(ISNUMBER(_xll.BDP("eu0003m index","CHG neT 5d")),_xll.BDP("eu0003m index","CHG neT 5d"),"na")</f>
        <v>0</v>
      </c>
      <c r="X11" s="7">
        <f>IF(ISNUMBER(_xll.BDP("eu0003m index","CHG neT 1m")),_xll.BDP("eu0003m index","CHG neT 1m"),"na")</f>
        <v>-2.15E-3</v>
      </c>
      <c r="Y11" s="7">
        <f>IF(ISNUMBER(_xll.BDP("eu0003m index","CHG neT 1yr")),_xll.BDP("eu0003m index","CHG neT 1yr"),"na")</f>
        <v>-0.12856999999999999</v>
      </c>
      <c r="Z11" s="7">
        <f t="shared" si="2"/>
        <v>0</v>
      </c>
      <c r="AC11" s="48" t="s">
        <v>401</v>
      </c>
      <c r="AD11" s="15">
        <f>_xll.BDP("EUdb60ie index","px last")</f>
        <v>56</v>
      </c>
    </row>
    <row r="12" spans="1:30" x14ac:dyDescent="0.25">
      <c r="A12" t="str">
        <f>+IF(E12&gt;E13,IF(ABS(E12)&gt;ABS(E13),"out","eqty"),IF(ABS(E12)&gt;ABS(E13),"eqty+bnds","gold"))</f>
        <v>out</v>
      </c>
      <c r="B12" t="s">
        <v>94</v>
      </c>
      <c r="D12" s="7">
        <f ca="1">_xll.BDP("GT2 Govt","bid yield")</f>
        <v>2.7490790000000001</v>
      </c>
      <c r="E12" s="7">
        <f>_xll.BDP("GT2 Govt","yld CHG neT 5d")</f>
        <v>29.520412783578109</v>
      </c>
      <c r="F12" s="7">
        <f>_xll.BDP("GT2 Govt","yld CHG neT 1m")</f>
        <v>58.395062783578091</v>
      </c>
      <c r="G12" s="7">
        <f>_xll.BDP("usgg2yr index","CHG neT 1yr")</f>
        <v>2.6019000000000001</v>
      </c>
      <c r="H12" s="7">
        <f t="shared" si="0"/>
        <v>1</v>
      </c>
      <c r="J12" t="str">
        <f>+IF(IF(ABS(N12)&gt;ABS(N13),IF(N12&gt;0,1,2),IF(N13&gt;0,3,4))=1,"cash",IF(IF(ABS(N12)&gt;ABS(N13),IF(N12&gt;0,1,2),IF(N13&gt;0,3,4))=2,"gold",IF(IF(ABS(N12)&gt;ABS(N13),IF(N12&gt;0,1,2),IF(N13&gt;0,3,4))=3,"eqty",IF(IF(ABS(N12)&gt;ABS(N13),IF(N12&gt;0,1,2),IF(N13&gt;0,3,4))=4,"bnds",1))))</f>
        <v>eqty</v>
      </c>
      <c r="K12" t="s">
        <v>130</v>
      </c>
      <c r="M12" s="7">
        <f ca="1">_xll.BDP("gtpte2y govt","bid yield")</f>
        <v>0.403866</v>
      </c>
      <c r="N12" s="7">
        <f>_xll.BDP("gspt2yr index","CHG neT 5d")</f>
        <v>4.3999999999999997E-2</v>
      </c>
      <c r="O12" s="7">
        <f>_xll.BDP("gspt2yr index","CHG neT 1m")</f>
        <v>0.63100000000000001</v>
      </c>
      <c r="P12" s="7">
        <f>IF(ISNUMBER(_xll.BDP("gspt2yr index","CHG neT 1yr")),_xll.BDP("gspt2yr index","CHG neT 1yr"),"na")</f>
        <v>0.94499999999999995</v>
      </c>
      <c r="Q12" s="7">
        <f t="shared" si="1"/>
        <v>1</v>
      </c>
      <c r="S12" t="str">
        <f>+IF(IF(ABS(W12)&gt;ABS(W13),IF(W12&gt;0,1,2),IF(W13&gt;0,3,4))=1,"cash",IF(IF(ABS(W12)&gt;ABS(W13),IF(W12&gt;0,1,2),IF(W13&gt;0,3,4))=2,"gold",IF(IF(ABS(W12)&gt;ABS(W13),IF(W12&gt;0,1,2),IF(W13&gt;0,3,4))=3,"eqty",IF(IF(ABS(W12)&gt;ABS(W13),IF(W12&gt;0,1,2),IF(W13&gt;0,3,4))=4,"bnds",1))))</f>
        <v>cash</v>
      </c>
      <c r="T12" t="s">
        <v>101</v>
      </c>
      <c r="V12" s="7">
        <f ca="1">_xll.BDP("gtdem2y govt","bid yield")</f>
        <v>0.26952799999999999</v>
      </c>
      <c r="W12" s="7">
        <f>_xll.BDP("gdbr2 index","CHG neT 5d")</f>
        <v>0.20599999999999999</v>
      </c>
      <c r="X12" s="7">
        <f>_xll.BDP("gdbr2 index","CHG neT 1m")</f>
        <v>0.48799999999999999</v>
      </c>
      <c r="Y12" s="7">
        <f>IF(ISNUMBER(_xll.BDP("gdbr2 index","CHG neT 1yr")),_xll.BDP("gdbr2 index","CHG neT 1yr"),"na")</f>
        <v>0.94299999999999995</v>
      </c>
      <c r="Z12" s="7">
        <f t="shared" si="2"/>
        <v>1</v>
      </c>
    </row>
    <row r="13" spans="1:30" x14ac:dyDescent="0.25">
      <c r="A13" t="str">
        <f>+IF(F12&gt;F13,IF(ABS(F12)&gt;ABS(F13),"out","eqty"),IF(ABS(F12)&gt;ABS(F13),"eqty+bnds","gold"))</f>
        <v>out</v>
      </c>
      <c r="B13" t="s">
        <v>95</v>
      </c>
      <c r="D13" s="7">
        <f ca="1">_xll.BDP("GT10 Govt","bid yield")</f>
        <v>2.9375</v>
      </c>
      <c r="E13" s="7">
        <f>_xll.BDP("GT10 Govt","yld CHG neT 5d")</f>
        <v>10.520561508971316</v>
      </c>
      <c r="F13" s="7">
        <f>_xll.BDP("GT10 Govt","yld CHG neT 1m")</f>
        <v>55.027911508971307</v>
      </c>
      <c r="G13" s="7">
        <f>_xll.BDP("usgg10yr index","CHG neT 1yr")</f>
        <v>1.3956</v>
      </c>
      <c r="H13" s="7">
        <f t="shared" si="0"/>
        <v>1</v>
      </c>
      <c r="J13" t="str">
        <f>+IF(IF(ABS(O12)&gt;ABS(O13),IF(O12&gt;0,1,2),IF(O13&gt;0,3,4))=1,"cash",IF(IF(ABS(O12)&gt;ABS(O13),IF(O12&gt;0,1,2),IF(O13&gt;0,3,4))=2,"gold",IF(IF(ABS(O12)&gt;ABS(O13),IF(O12&gt;0,1,2),IF(O13&gt;0,3,4))=3,"eqty",IF(IF(ABS(O12)&gt;ABS(O13),IF(O12&gt;0,1,2),IF(O13&gt;0,3,4))=4,"bnds",1))))</f>
        <v>eqty</v>
      </c>
      <c r="K13" t="s">
        <v>131</v>
      </c>
      <c r="M13" s="7">
        <f ca="1">_xll.BDP("gtpte10y govt","bid yield")</f>
        <v>1.9695689999999999</v>
      </c>
      <c r="N13" s="7">
        <f>_xll.BDP("gspt10yr index","CHG neT 5d")</f>
        <v>0.123</v>
      </c>
      <c r="O13" s="7">
        <f>_xll.BDP("gspt10yr index","CHG neT 1m")</f>
        <v>0.67</v>
      </c>
      <c r="P13" s="10">
        <f>IF(ISNUMBER(_xll.BDP("gspt10yr index","CHG neT 1yr")),_xll.BDP("gspt10yr index","CHG neT 1yr"),"na")</f>
        <v>1.5580000000000001</v>
      </c>
      <c r="Q13" s="7">
        <f t="shared" si="1"/>
        <v>1</v>
      </c>
      <c r="S13" t="str">
        <f>+IF(IF(ABS(X12)&gt;ABS(X13),IF(X12&gt;0,1,2),IF(X13&gt;0,3,4))=1,"cash",IF(IF(ABS(X12)&gt;ABS(X13),IF(X12&gt;0,1,2),IF(X13&gt;0,3,4))=2,"gold",IF(IF(ABS(X12)&gt;ABS(X13),IF(X12&gt;0,1,2),IF(X13&gt;0,3,4))=3,"eqty",IF(IF(ABS(X12)&gt;ABS(X13),IF(X12&gt;0,1,2),IF(X13&gt;0,3,4))=4,"bnds",1))))</f>
        <v>cash</v>
      </c>
      <c r="T13" t="s">
        <v>102</v>
      </c>
      <c r="V13" s="7">
        <f ca="1">_xll.BDP("gtdem10y govt","bid yield")</f>
        <v>0.95318800000000004</v>
      </c>
      <c r="W13" s="10">
        <f>_xll.BDP("gdbr10 index","CHG neT 5d")</f>
        <v>0.104</v>
      </c>
      <c r="X13" s="10">
        <f>_xll.BDP("gdbr10 index","CHG neT 1m")</f>
        <v>0.441</v>
      </c>
      <c r="Y13" s="10">
        <f>IF(ISNUMBER(_xll.BDP("gdbr10 index","CHG neT 1yr")),_xll.BDP("gdbr10 index","CHG neT 1yr"),"na")</f>
        <v>1.198</v>
      </c>
      <c r="Z13" s="7">
        <f t="shared" si="2"/>
        <v>1</v>
      </c>
    </row>
    <row r="14" spans="1:30" x14ac:dyDescent="0.25">
      <c r="B14" t="s">
        <v>121</v>
      </c>
      <c r="D14" s="7">
        <f>_xll.BDP("CEERUS curncy", "px last")</f>
        <v>100.9875</v>
      </c>
      <c r="E14" s="7">
        <f>_xll.BDP("CEERUS curncy","CHG PCT 5d")</f>
        <v>-0.13139999999999999</v>
      </c>
      <c r="F14" s="7">
        <f>_xll.BDP("CEERUS curncy", "CHG PCT 1M")</f>
        <v>0.55120000000000002</v>
      </c>
      <c r="G14" s="10">
        <f>_xll.BDP("CEERUS curncy", "CHG PCT 1yr")</f>
        <v>-0.78049999999999997</v>
      </c>
      <c r="H14" s="7">
        <f t="shared" si="0"/>
        <v>0</v>
      </c>
      <c r="J14" s="9"/>
      <c r="K14" t="s">
        <v>123</v>
      </c>
      <c r="M14" s="15">
        <f>_xll.BDP("CEEREU curncy", "px last")</f>
        <v>94.492400000000004</v>
      </c>
      <c r="N14" s="7">
        <f>_xll.BDP("CEEREU curncy","CHG PCT 5d")</f>
        <v>0.68479999999999996</v>
      </c>
      <c r="O14" s="7">
        <f>_xll.BDP("CEEREU curncy", "CHG PCT 1M")</f>
        <v>1.3452999999999999</v>
      </c>
      <c r="P14" s="10">
        <f>_xll.BDP("CEEREU curncy", "CHG PCT 1yr")</f>
        <v>2.2827000000000002</v>
      </c>
      <c r="Q14" s="7">
        <f t="shared" si="1"/>
        <v>1</v>
      </c>
      <c r="T14" t="s">
        <v>123</v>
      </c>
      <c r="V14" s="6">
        <f>_xll.BDP("CEEREU curncy", "px last")</f>
        <v>94.492400000000004</v>
      </c>
      <c r="W14" s="7">
        <f>_xll.BDP("CEEREU curncy","CHG PCT 5d")</f>
        <v>0.68479999999999996</v>
      </c>
      <c r="X14" s="7">
        <f>_xll.BDP("CEEREU curncy", "CHG PCT 1M")</f>
        <v>1.3452999999999999</v>
      </c>
      <c r="Y14" s="10">
        <f>_xll.BDP("CEEREU curncy", "CHG PCT 1yr")</f>
        <v>2.2827000000000002</v>
      </c>
      <c r="Z14" s="7">
        <f t="shared" si="2"/>
        <v>1</v>
      </c>
    </row>
    <row r="15" spans="1:30" x14ac:dyDescent="0.25">
      <c r="B15" t="s">
        <v>8</v>
      </c>
      <c r="D15" s="15">
        <f>_xll.BDP(B15&amp;" index","best pe ratio")</f>
        <v>19.315060027908245</v>
      </c>
      <c r="E15" s="7">
        <f>_xll.BDP(B15&amp;" INDEX","CHG PCT 5d")</f>
        <v>-1.190347</v>
      </c>
      <c r="F15" s="7">
        <f>_xll.BDP(B15&amp;" INDEX","CHG PCT 1M")</f>
        <v>-2.61436</v>
      </c>
      <c r="G15" s="10">
        <f>_xll.BDP(B15&amp;" INDEX","CHG PCT 1YR")</f>
        <v>6.2558990000000003</v>
      </c>
      <c r="H15" s="7">
        <f t="shared" si="0"/>
        <v>0</v>
      </c>
      <c r="K15" t="s">
        <v>132</v>
      </c>
      <c r="M15" s="15">
        <f>_xll.BDP(K15&amp;" index","best pe ratio")</f>
        <v>15.389148920096726</v>
      </c>
      <c r="N15" s="7">
        <f>_xll.BDP(K15&amp;" INDEX","CHG PCT 5d")</f>
        <v>-0.79813069999999997</v>
      </c>
      <c r="O15" s="7">
        <f>_xll.BDP(K15&amp;" INDEX","CHG PCT 1M")</f>
        <v>3.6434690000000001</v>
      </c>
      <c r="P15" s="10">
        <f>_xll.BDP(K15&amp;" INDEX","CHG PCT 1YR")</f>
        <v>20.407540000000001</v>
      </c>
      <c r="Q15" s="7">
        <f t="shared" si="1"/>
        <v>0</v>
      </c>
      <c r="T15" t="s">
        <v>141</v>
      </c>
      <c r="V15" s="15">
        <f>_xll.BDP(T15&amp;" index","best pe ratio")</f>
        <v>12.420218998967602</v>
      </c>
      <c r="W15" s="7">
        <f>_xll.BDP(T15&amp;" INDEX","CHG PCT 5d")</f>
        <v>0.97360959999999996</v>
      </c>
      <c r="X15" s="7">
        <f>_xll.BDP(T15&amp;" INDEX","CHG PCT 1M")</f>
        <v>-1.7944199999999999</v>
      </c>
      <c r="Y15" s="10">
        <f>_xll.BDP(T15&amp;" INDEX","CHG PCT 1YR")</f>
        <v>-7.2257949999999997</v>
      </c>
      <c r="Z15" s="7">
        <f t="shared" si="2"/>
        <v>0</v>
      </c>
    </row>
    <row r="16" spans="1:30" x14ac:dyDescent="0.25">
      <c r="C16" s="22"/>
      <c r="D16" s="39">
        <f ca="1">+D13-D4</f>
        <v>-2.9625000000000004</v>
      </c>
      <c r="F16" s="7"/>
      <c r="G16" s="7"/>
      <c r="H16" s="7"/>
      <c r="M16" s="39">
        <f ca="1">+M13-M4</f>
        <v>-3.5304310000000001</v>
      </c>
      <c r="O16" s="7"/>
      <c r="P16" s="7"/>
      <c r="Q16" s="7"/>
      <c r="V16" s="39">
        <f ca="1">+V13-V4</f>
        <v>-6.3468119999999999</v>
      </c>
      <c r="X16" s="7"/>
      <c r="Y16" s="7"/>
      <c r="Z16" s="7"/>
    </row>
    <row r="17" spans="1:35" x14ac:dyDescent="0.25">
      <c r="A17" s="19" t="s">
        <v>3</v>
      </c>
      <c r="B17" s="13">
        <f>+SUM(A18:A22)</f>
        <v>-1</v>
      </c>
      <c r="C17" s="1"/>
      <c r="D17" s="1"/>
      <c r="E17" s="1"/>
      <c r="F17" s="23"/>
      <c r="G17" s="23"/>
      <c r="H17" s="7"/>
      <c r="J17" s="19" t="s">
        <v>19</v>
      </c>
      <c r="K17" s="13">
        <f>+SUM(J18:J22)</f>
        <v>-1</v>
      </c>
      <c r="L17" s="1"/>
      <c r="M17" s="1"/>
      <c r="N17" s="1"/>
      <c r="O17" s="23"/>
      <c r="P17" s="23"/>
      <c r="Q17" s="7"/>
      <c r="S17" s="19" t="s">
        <v>153</v>
      </c>
      <c r="T17" s="13">
        <f>+SUM(S18:S22)</f>
        <v>1</v>
      </c>
      <c r="U17" s="1"/>
      <c r="V17" s="1"/>
      <c r="W17" s="1"/>
      <c r="X17" s="23"/>
      <c r="Y17" s="23"/>
      <c r="Z17" s="24"/>
    </row>
    <row r="18" spans="1:35" x14ac:dyDescent="0.25">
      <c r="A18" s="8">
        <f>+IF(D18&gt;2.5,-1,+IF(D18&lt;1,-1,0))</f>
        <v>-1</v>
      </c>
      <c r="B18" t="s">
        <v>2</v>
      </c>
      <c r="D18" s="15">
        <f>_xll.BDP("ECCPEMUY INDEX","px last")</f>
        <v>7.4</v>
      </c>
      <c r="E18" s="7" t="str">
        <f>IF(ISNUMBER(_xll.BDP("ECCPEMUy index","CHG neT 5d")),_xll.BDP("ECCPEMUy index","CHG neT 5d"),"na")</f>
        <v>na</v>
      </c>
      <c r="F18" s="7">
        <f>IF(ISNUMBER(_xll.BDP("ECCPEMUy index","CHG neT 1m")),_xll.BDP("ECCPEMUy index","CHG neT 1m"),"na")</f>
        <v>1.5</v>
      </c>
      <c r="G18" s="7">
        <f>IF(ISNUMBER(_xll.BDP("ECCPEMUy index","CHG neT 1yr")),_xll.BDP("ECCPEMUy index","CHG neT 1yr"),"na")</f>
        <v>6.1</v>
      </c>
      <c r="H18" s="7"/>
      <c r="J18" s="8">
        <f>+IF(M18&gt;2.5,-1,+IF(M18&lt;1,-1,0))</f>
        <v>-1</v>
      </c>
      <c r="K18" t="s">
        <v>2</v>
      </c>
      <c r="M18" s="15">
        <f>_xll.BDP("spcpeuyy INDEX","px last")</f>
        <v>9.8000000000000007</v>
      </c>
      <c r="N18" s="7" t="str">
        <f>IF(ISNUMBER(_xll.BDP("spcpeuyy index","CHG neT 5d")),_xll.BDP("spcpeuyy index","CHG neT 5d"),"na")</f>
        <v>na</v>
      </c>
      <c r="O18" s="7">
        <f>IF(ISNUMBER(_xll.BDP("spcpeuyy index","CHG neT 1m")),_xll.BDP("spcpeuyy index","CHG neT 1m"),"na")</f>
        <v>2.2000000000000002</v>
      </c>
      <c r="P18" s="7">
        <f>IF(ISNUMBER(_xll.BDP("spcpeuyy index","CHG neT 1yr")),_xll.BDP("spcpeuyy index","CHG neT 1yr"),"na")</f>
        <v>8.6</v>
      </c>
      <c r="Q18" s="7"/>
      <c r="S18" s="8">
        <f>+IF(V18&gt;2.5,-1,+IF(V18&lt;1,-1,0))</f>
        <v>0</v>
      </c>
      <c r="T18" t="s">
        <v>2</v>
      </c>
      <c r="V18" s="15">
        <f>_xll.BDP("cncpiyoy INDEX","PX LAST")</f>
        <v>1.5</v>
      </c>
      <c r="W18" s="7" t="str">
        <f>IF(ISNUMBER(_xll.BDP("cncpiyoy index","CHG neT 5d")),_xll.BDP("cncpiyoy index","CHG neT 5d"),"na")</f>
        <v>na</v>
      </c>
      <c r="X18" s="7">
        <f>IF(ISNUMBER(_xll.BDP("cncpiyoy index","CHG neT 1m")),_xll.BDP("cncpiyoy index","CHG neT 1m"),"na")</f>
        <v>0.6</v>
      </c>
      <c r="Y18" s="7">
        <f>IF(ISNUMBER(_xll.BDP("cncpiyoy index","CHG neT 1yr")),_xll.BDP("cncpiyoy index","CHG neT 1yr"),"na")</f>
        <v>1.1000000000000001</v>
      </c>
      <c r="Z18" s="24"/>
    </row>
    <row r="19" spans="1:35" x14ac:dyDescent="0.25">
      <c r="A19" s="8">
        <f>+IF(D19&gt;2.5,1,+IF(D19&lt;0.5,-1,0))</f>
        <v>1</v>
      </c>
      <c r="B19" t="s">
        <v>120</v>
      </c>
      <c r="D19" s="15">
        <f>_xll.BDP("EUGNEMUy index","px last")</f>
        <v>4.7</v>
      </c>
      <c r="E19" s="7" t="str">
        <f>IF(ISNUMBER(_xll.BDP("EUGNEMUQ index","CHG neT 5d")),_xll.BDP("EUGNEMUQ index","CHG neT 5d"),"na")</f>
        <v>na</v>
      </c>
      <c r="F19" s="7" t="str">
        <f>IF(ISNUMBER(_xll.BDP("EUGNEMUQ index","CHG neT 1m")),_xll.BDP("EUGNEMUQ index","CHG neT 1m"),"na")</f>
        <v>na</v>
      </c>
      <c r="G19" s="7">
        <f>IF(ISNUMBER(_xll.BDP("EUGNEMUQ index","CHG neT 1yr")),_xll.BDP("EUGNEMUQ index","CHG neT 1yr"),"na")</f>
        <v>0.6</v>
      </c>
      <c r="H19" s="7"/>
      <c r="J19" s="8">
        <f>+IF(M19&gt;2.5,1,+IF(M19&lt;0.5,-1,0))</f>
        <v>1</v>
      </c>
      <c r="K19" t="s">
        <v>120</v>
      </c>
      <c r="M19" s="15">
        <f>_xll.BDP("spnagdpy index","px last")</f>
        <v>5.5</v>
      </c>
      <c r="N19" s="7" t="str">
        <f>IF(ISNUMBER(_xll.BDP("spnagdpy index","CHG neT 5d")),_xll.BDP("spnagdpy index","CHG neT 5d"),"na")</f>
        <v>na</v>
      </c>
      <c r="O19" s="7" t="str">
        <f>IF(ISNUMBER(_xll.BDP("spnagdpy index","CHG neT 1m")),_xll.BDP("spnagdpy index","CHG neT 1m"),"na")</f>
        <v>na</v>
      </c>
      <c r="P19" s="7">
        <f>IF(ISNUMBER(_xll.BDP("spnagdpy index","CHG neT 1yr")),_xll.BDP("spnagdpy index","CHG neT 1yr"),"na")</f>
        <v>14.3</v>
      </c>
      <c r="Q19" s="7"/>
      <c r="S19" s="8">
        <f>+IF(V19&gt;2.5,1,+IF(V19&lt;0.5,-1,0))</f>
        <v>1</v>
      </c>
      <c r="T19" t="s">
        <v>7</v>
      </c>
      <c r="V19" s="16">
        <f>_xll.BDP("CNGDPYOY INDEX","PX LAST")</f>
        <v>4.8</v>
      </c>
      <c r="W19" s="7" t="str">
        <f>IF(ISNUMBER(_xll.BDP("CNGDPYOY index","CHG neT 5d")),_xll.BDP("CNGDPYOY index","CHG neT 5d"),"na")</f>
        <v>na</v>
      </c>
      <c r="X19" s="7" t="str">
        <f>IF(ISNUMBER(_xll.BDP("CNGDPYOY index","CHG neT 1m")),_xll.BDP("CNGDPYOY index","CHG neT 1m"),"na")</f>
        <v>na</v>
      </c>
      <c r="Y19" s="7">
        <f>IF(ISNUMBER(_xll.BDP("CNGDPYOY index","CHG neT 1yr")),_xll.BDP("CNGDPYOY index","CHG neT 1yr"),"na")</f>
        <v>-13.5</v>
      </c>
      <c r="Z19" s="24"/>
    </row>
    <row r="20" spans="1:35" x14ac:dyDescent="0.25">
      <c r="A20" s="8">
        <f>+IF(D20&gt;0,1,+IF(D20&lt;-3,-1,0))</f>
        <v>-1</v>
      </c>
      <c r="B20" t="s">
        <v>127</v>
      </c>
      <c r="D20" s="16">
        <f>_xll.BDP("ehbbeu INDEX","PX LAST")</f>
        <v>-5.1100000000000003</v>
      </c>
      <c r="E20" s="7" t="str">
        <f>IF(ISNUMBER(_xll.BDP("ehbbeu index","CHG neT 5d")),_xll.BDP("ehbbeu index","CHG neT 5d"),"na")</f>
        <v>na</v>
      </c>
      <c r="F20" s="7" t="str">
        <f>IF(ISNUMBER(_xll.BDP("ehbbeu index","CHG neT 1m")),_xll.BDP("ehbbeu index","CHG neT 1m"),"na")</f>
        <v>na</v>
      </c>
      <c r="G20" s="7">
        <f>IF(ISNUMBER(_xll.BDP("ehbbeu index","CHG neT 1yr")),_xll.BDP("ehbbeu index","CHG neT 1yr"),"na")</f>
        <v>1.97</v>
      </c>
      <c r="H20" s="7"/>
      <c r="J20" s="8">
        <f>+IF(M20&gt;0,1,+IF(M20&lt;-3,-1,0))</f>
        <v>-1</v>
      </c>
      <c r="K20" t="s">
        <v>127</v>
      </c>
      <c r="M20" s="16">
        <f>_xll.BDP("EUbdsp index","px last")</f>
        <v>-6.9</v>
      </c>
      <c r="N20" s="7" t="str">
        <f>IF(ISNUMBER(_xll.BDP("EUbdsp index","CHG neT 5d")),_xll.BDP("EUbdsp index","CHG neT 5d"),"na")</f>
        <v>na</v>
      </c>
      <c r="O20" s="7" t="str">
        <f>IF(ISNUMBER(_xll.BDP("EUbdsp index","CHG neT 1m")),_xll.BDP("EUbdsp index","CHG neT 1m"),"na")</f>
        <v>na</v>
      </c>
      <c r="P20" s="7">
        <f>IF(ISNUMBER(_xll.BDP("EUbdsp index","CHG neT 1yr")),_xll.BDP("EUbdsp index","CHG neT 1yr"),"na")</f>
        <v>3.4</v>
      </c>
      <c r="Q20" s="7"/>
      <c r="S20" s="8">
        <f>+IF(V20&gt;0,1,+IF(V20&lt;-3,-1,0))</f>
        <v>-1</v>
      </c>
      <c r="T20" t="s">
        <v>127</v>
      </c>
      <c r="V20" s="15">
        <f>_xll.BDP("ehbbcny INDEX","PX LAST")</f>
        <v>-3.83</v>
      </c>
      <c r="W20" s="7" t="str">
        <f>IF(ISNUMBER(_xll.BDP("ehbbcny index","CHG neT 5d")),_xll.BDP("ehbbcny index","CHG neT 5d"),"na")</f>
        <v>na</v>
      </c>
      <c r="X20" s="7" t="str">
        <f>IF(ISNUMBER(_xll.BDP("ehbbcny index","CHG neT 1m")),_xll.BDP("ehbbcny index","CHG neT 1m"),"na")</f>
        <v>na</v>
      </c>
      <c r="Y20" s="7">
        <f>IF(ISNUMBER(_xll.BDP("ehbbcny index","CHG neT 1yr")),_xll.BDP("ehbbcny index","CHG neT 1yr"),"na")</f>
        <v>2.36</v>
      </c>
      <c r="Z20" s="24"/>
    </row>
    <row r="21" spans="1:35" x14ac:dyDescent="0.25">
      <c r="A21" s="8">
        <f>+IF(D21&gt;0,1,+IF(D21&lt;-3,-1,0))</f>
        <v>1</v>
      </c>
      <c r="B21" t="s">
        <v>119</v>
      </c>
      <c r="D21" s="16">
        <f>_xll.BDP("ehcaeu INDEX","PX LAST")</f>
        <v>2.59</v>
      </c>
      <c r="E21" s="7" t="str">
        <f>IF(ISNUMBER(_xll.BDP("ehcaeu index","CHG neT 5d")),_xll.BDP("ehcaeu index","CHG neT 5d"),"na")</f>
        <v>na</v>
      </c>
      <c r="F21" s="7" t="str">
        <f>IF(ISNUMBER(_xll.BDP("ehcaeu index","CHG neT 1m")),_xll.BDP("ehcaeu index","CHG neT 1m"),"na")</f>
        <v>na</v>
      </c>
      <c r="G21" s="7">
        <f>IF(ISNUMBER(_xll.BDP("ehcaeu index","CHG neT 1yr")),_xll.BDP("ehcaeu index","CHG neT 1yr"),"na")</f>
        <v>0.67</v>
      </c>
      <c r="H21" s="7"/>
      <c r="J21" s="8">
        <f>+IF(M21&gt;0,1,+IF(M21&lt;-3,-1,0))</f>
        <v>1</v>
      </c>
      <c r="K21" s="17" t="s">
        <v>119</v>
      </c>
      <c r="L21" s="22"/>
      <c r="M21" s="15">
        <f>_xll.BDP("ehcaes INDEX","PX LAST")</f>
        <v>0.94</v>
      </c>
      <c r="N21" s="7" t="str">
        <f>IF(ISNUMBER(_xll.BDP("ehcaes index","CHG neT 5d")),_xll.BDP("ehcaes index","CHG neT 5d"),"na")</f>
        <v>na</v>
      </c>
      <c r="O21" s="7" t="str">
        <f>IF(ISNUMBER(_xll.BDP("ehcaes index","CHG neT 1m")),_xll.BDP("ehcaes index","CHG neT 1m"),"na")</f>
        <v>na</v>
      </c>
      <c r="P21" s="7">
        <f>IF(ISNUMBER(_xll.BDP("ehcaes index","CHG neT 1yr")),_xll.BDP("ehcaes index","CHG neT 1yr"),"na")</f>
        <v>0.12</v>
      </c>
      <c r="Q21" s="7"/>
      <c r="S21" s="8">
        <f>+IF(V21&gt;0,1,+IF(V21&lt;-3,-1,0))</f>
        <v>1</v>
      </c>
      <c r="T21" t="s">
        <v>119</v>
      </c>
      <c r="V21" s="15">
        <f>_xll.BDP("ehcacn INDEX","PX LAST")</f>
        <v>1.77</v>
      </c>
      <c r="W21" s="7" t="str">
        <f>IF(ISNUMBER(_xll.BDP("ehcacn index","CHG neT 5d")),_xll.BDP("ehcacn index","CHG neT 5d"),"na")</f>
        <v>na</v>
      </c>
      <c r="X21" s="7" t="str">
        <f>IF(ISNUMBER(_xll.BDP("ehcacn index","CHG neT 1m")),_xll.BDP("ehcacn index","CHG neT 1m"),"na")</f>
        <v>na</v>
      </c>
      <c r="Y21" s="7">
        <f>IF(ISNUMBER(_xll.BDP("ehcacn index","CHG neT 1yr")),_xll.BDP("ehcacn index","CHG neT 1yr"),"na")</f>
        <v>0.15</v>
      </c>
      <c r="Z21" s="24"/>
    </row>
    <row r="22" spans="1:35" x14ac:dyDescent="0.25">
      <c r="A22" s="8">
        <f>+IF(D22&gt;4.5,-1,0)</f>
        <v>-1</v>
      </c>
      <c r="B22" t="s">
        <v>145</v>
      </c>
      <c r="C22" t="s">
        <v>114</v>
      </c>
      <c r="D22" s="16">
        <f>_xll.BDP(C22,"px last")</f>
        <v>7.1</v>
      </c>
      <c r="E22" s="7">
        <f>IF(ISNUMBER(_xll.BDP(C22,"CHG neT 5d")),_xll.BDP(C22,"CHG neT 5d"),0)</f>
        <v>0</v>
      </c>
      <c r="F22" s="7">
        <f>IF(ISNUMBER(_xll.BDP(C22,"CHG neT 1m")),_xll.BDP(C22,"CHG neT 1m"),0)</f>
        <v>0</v>
      </c>
      <c r="G22" s="7">
        <f>IF(ISNUMBER(_xll.BDP(C22,"CHG neT 1yr")),_xll.BDP(C22,"CHG neT 1yr"),0)</f>
        <v>-1.17</v>
      </c>
      <c r="H22" s="7"/>
      <c r="J22" s="8">
        <f>+IF(M22&gt;4.5,-1,0)</f>
        <v>-1</v>
      </c>
      <c r="K22" t="s">
        <v>145</v>
      </c>
      <c r="L22" t="s">
        <v>118</v>
      </c>
      <c r="M22" s="16">
        <f>_xll.BDP(L22,"px last")</f>
        <v>13.43</v>
      </c>
      <c r="N22" s="7">
        <f>IF(ISNUMBER(_xll.BDP(L22,"CHG neT 5d")),_xll.BDP(L22,"CHG neT 5d"),0)</f>
        <v>0</v>
      </c>
      <c r="O22" s="7">
        <f>IF(ISNUMBER(_xll.BDP(L22,"CHG neT 1m")),_xll.BDP(L22,"CHG neT 1m"),0)</f>
        <v>0</v>
      </c>
      <c r="P22" s="7">
        <f>IF(ISNUMBER(_xll.BDP(L22,"CHG neT 1yr")),_xll.BDP(L22,"CHG neT 1yr"),0)</f>
        <v>-2.8</v>
      </c>
      <c r="Q22" s="7"/>
      <c r="S22" s="8">
        <f>+IF(V22&gt;4.5,-1,0)</f>
        <v>0</v>
      </c>
      <c r="T22" t="s">
        <v>145</v>
      </c>
      <c r="U22" t="s">
        <v>117</v>
      </c>
      <c r="V22" s="15">
        <f>_xll.BDP(U22,"px last")</f>
        <v>3.96</v>
      </c>
      <c r="W22" s="7">
        <f>IF(ISNUMBER(_xll.BDP(U22,"CHG neT 5d")),_xll.BDP(U22,"CHG neT 5d"),0)</f>
        <v>0</v>
      </c>
      <c r="X22" s="7">
        <f>IF(ISNUMBER(_xll.BDP(U22,"CHG neT 1m")),_xll.BDP(U22,"CHG neT 1m"),0)</f>
        <v>0</v>
      </c>
      <c r="Y22" s="7">
        <f>IF(ISNUMBER(_xll.BDP(U22,"CHG neT 1yr")),_xll.BDP(U22,"CHG neT 1yr"),0)</f>
        <v>-0.28000000000000003</v>
      </c>
      <c r="Z22" s="24"/>
    </row>
    <row r="23" spans="1:35" x14ac:dyDescent="0.25">
      <c r="A23" s="8" t="str">
        <f>+IF(D24&gt;A24+1,"$ tight",+IF(D24&lt;A24-1,"$ loose","$ ok"))</f>
        <v>$ ok</v>
      </c>
      <c r="B23" t="s">
        <v>92</v>
      </c>
      <c r="D23" s="7">
        <f>_xll.BDP("getb1 INDEX","px last")</f>
        <v>-0.69199999999999995</v>
      </c>
      <c r="E23" s="7">
        <f>IF(ISNUMBER(_xll.BDP("getb1 index","CHG neT 5d")),_xll.BDP("getb1 index","CHG neT 5d"),0)</f>
        <v>-8.9999999999999993E-3</v>
      </c>
      <c r="F23" s="7">
        <f>IF(ISNUMBER(_xll.BDP("getb1 index","CHG neT 1m")),_xll.BDP("getb1 index","CHG neT 1m"),0)</f>
        <v>3.5999999999999997E-2</v>
      </c>
      <c r="G23" s="7">
        <f>IF(ISNUMBER(_xll.BDP("getb1 index","CHG neT 1yr")),_xll.BDP("getb1 index","CHG neT 1yr"),"na")</f>
        <v>-5.6000000000000001E-2</v>
      </c>
      <c r="H23" s="7">
        <f t="shared" ref="H23:H28" si="3">+IF(AND(E23&gt;0,F23&gt;0,G23&gt;0),1,0)+IF(AND(E23&lt;0,F23&lt;0,G23&lt;0),-1,0)</f>
        <v>0</v>
      </c>
      <c r="J23" s="8" t="str">
        <f>+IF(M24&gt;J24+1,"$ tight",+IF(M24&lt;J24-1,"$ loose","$ ok"))</f>
        <v>$ tight</v>
      </c>
      <c r="K23" t="s">
        <v>92</v>
      </c>
      <c r="M23" s="7">
        <f>_xll.BDP("gspg3m index","px last")</f>
        <v>-0.59699999999999998</v>
      </c>
      <c r="N23" s="7">
        <f>_xll.BDP("gspg3m index","CHG neT 5d")</f>
        <v>-5.0000000000000001E-3</v>
      </c>
      <c r="O23" s="7">
        <f>_xll.BDP("gspg3m index","CHG neT 1m")</f>
        <v>4.8000000000000001E-2</v>
      </c>
      <c r="P23" s="7">
        <f>IF(ISNUMBER(_xll.BDP("gspg3m index","CHG neT 1yr")),_xll.BDP("gspg2yr index","CHG neT 1yr"),"na")</f>
        <v>1.012</v>
      </c>
      <c r="Q23" s="7">
        <f t="shared" ref="Q23:Q28" si="4">+IF(AND(N23&gt;0,O23&gt;0,P23&gt;0),1,0)+IF(AND(N23&lt;0,O23&lt;0,P23&lt;0),-1,0)</f>
        <v>0</v>
      </c>
      <c r="S23" s="8" t="str">
        <f>+IF(V24&gt;S24+1,"$ tight",+IF(V24&lt;S24-1,"$ loose","$ ok"))</f>
        <v>$ ok</v>
      </c>
      <c r="T23" t="s">
        <v>92</v>
      </c>
      <c r="V23" s="7">
        <f>_xll.BDP("GCNY3M index","PX LAST")</f>
        <v>1.873</v>
      </c>
      <c r="W23" s="7">
        <f>IF(ISNUMBER(_xll.BDP("CNBI3MO index","CHG neT 5d")),_xll.BDP("CNBI3MO index","CHG neT 5d"),0)</f>
        <v>0</v>
      </c>
      <c r="X23" s="7">
        <f>IF(ISNUMBER(_xll.BDP("CNBI3MO index","CHG neT 1m")),_xll.BDP("CNBI3MO index","CHG neT 1m"),0)</f>
        <v>0</v>
      </c>
      <c r="Y23" s="7" t="str">
        <f>IF(ISNUMBER(_xll.BDP("CNBI3MO index","CHG neT 1yr")),_xll.BDP("CNBI3MO index","CHG neT 1yr"),"na")</f>
        <v>na</v>
      </c>
      <c r="Z23" s="7">
        <f t="shared" ref="Z23:Z28" si="5">+IF(AND(W23&gt;0,X23&gt;0,Y23&gt;0),1,0)+IF(AND(W23&lt;0,X23&lt;0,Y23&lt;0),-1,0)</f>
        <v>0</v>
      </c>
    </row>
    <row r="24" spans="1:35" x14ac:dyDescent="0.25">
      <c r="A24" s="12">
        <f>+rates!M18</f>
        <v>-0.75774930264993023</v>
      </c>
      <c r="B24" t="s">
        <v>93</v>
      </c>
      <c r="D24" s="7">
        <f>_xll.BDP("EUR003m INDEX","px last")</f>
        <v>-0.46300000000000002</v>
      </c>
      <c r="E24" s="7">
        <f>IF(ISNUMBER(_xll.BDP("eu0003m index","CHG neT 5d")),_xll.BDP("eu0003m index","CHG neT 5d"),0)</f>
        <v>0</v>
      </c>
      <c r="F24" s="7">
        <f>IF(ISNUMBER(_xll.BDP("eu0003m index","CHG neT 1m")),_xll.BDP("eu0003m index","CHG neT 1m"),0)</f>
        <v>-2.15E-3</v>
      </c>
      <c r="G24" s="7">
        <f>IF(ISNUMBER(_xll.BDP("eu0003m index","CHG neT 1yr")),_xll.BDP("eu0003m index","CHG neT 1yr"),0)</f>
        <v>-0.12856999999999999</v>
      </c>
      <c r="H24" s="7">
        <f t="shared" si="3"/>
        <v>0</v>
      </c>
      <c r="J24" s="12">
        <f>+rates!U18</f>
        <v>-2.7292887029288702</v>
      </c>
      <c r="K24" t="s">
        <v>93</v>
      </c>
      <c r="M24" s="7">
        <f>_xll.BDP("sp0003m INDEX","px last")</f>
        <v>6.2859999999999999E-2</v>
      </c>
      <c r="N24" s="7">
        <f>IF(ISNUMBER(_xll.BDP("sp0003m index","CHG neT 5d")),_xll.BDP("sp0003m index","CHG neT 5d"),"na")</f>
        <v>7.2000000000000005E-4</v>
      </c>
      <c r="O24" s="7">
        <f>IF(ISNUMBER(_xll.BDP("sp0003m index","CHG neT 1m")),_xll.BDP("sp0003m index","CHG neT 1m"),"na")</f>
        <v>-1.4300000000000001E-3</v>
      </c>
      <c r="P24" s="7">
        <f>IF(ISNUMBER(_xll.BDP("sp0003m index","CHG neT 1yr")),_xll.BDP("sp0003m index","CHG neT 1yr"),"na")</f>
        <v>-0.12784999999999999</v>
      </c>
      <c r="Q24" s="7">
        <f t="shared" si="4"/>
        <v>0</v>
      </c>
      <c r="S24" s="12">
        <f>+rates!K18</f>
        <v>2.1000000000000032</v>
      </c>
      <c r="T24" t="s">
        <v>93</v>
      </c>
      <c r="V24" s="7">
        <f>_xll.BDP("shif3m INDEX","px last")</f>
        <v>2.3050000000000002</v>
      </c>
      <c r="W24" s="7">
        <f>IF(ISNUMBER(_xll.BDP("shif3m index","CHG neT 5d")),_xll.BDP("shif3m index","CHG neT 5d"),0)</f>
        <v>-3.1E-2</v>
      </c>
      <c r="X24" s="7">
        <f>IF(ISNUMBER(_xll.BDP("shif3m index","CHG neT 1m")),_xll.BDP("shif3m index","CHG neT 1m"),0)</f>
        <v>-6.4000000000000001E-2</v>
      </c>
      <c r="Y24" s="10">
        <f>IF(ISNUMBER(_xll.BDP("shif3m index","CHG neT 1yr")),_xll.BDP("shif3m index","CHG neT 1yr"),0)</f>
        <v>-0.29499999999999998</v>
      </c>
      <c r="Z24" s="7">
        <f t="shared" si="5"/>
        <v>-1</v>
      </c>
    </row>
    <row r="25" spans="1:35" x14ac:dyDescent="0.25">
      <c r="A25" t="str">
        <f>+IF(E25&gt;E26,IF(ABS(E25)&gt;ABS(E26),"out","eqty"),IF(ABS(E25)&gt;ABS(E26),"eqty+bnds","gold"))</f>
        <v>out</v>
      </c>
      <c r="B25" t="s">
        <v>101</v>
      </c>
      <c r="D25" s="7">
        <f ca="1">_xll.BDP("gtdem2y govt","bid yield")</f>
        <v>0.26952799999999999</v>
      </c>
      <c r="E25" s="7">
        <f>_xll.BDP("gdbr2 index","CHG neT 5d")</f>
        <v>0.20599999999999999</v>
      </c>
      <c r="F25" s="7">
        <f>_xll.BDP("gdbr2 index","CHG neT 1m")</f>
        <v>0.48799999999999999</v>
      </c>
      <c r="G25" s="7">
        <f>IF(ISNUMBER(_xll.BDP("gdbr2 index","CHG neT 1yr")),_xll.BDP("gdbr2 index","CHG neT 1yr"),"na")</f>
        <v>0.94299999999999995</v>
      </c>
      <c r="H25" s="7">
        <f t="shared" si="3"/>
        <v>1</v>
      </c>
      <c r="J25" t="str">
        <f>+IF(IF(ABS(N25)&gt;ABS(N26),IF(N25&gt;0,1,2),IF(N26&gt;0,3,4))=1,"cash",IF(IF(ABS(N25)&gt;ABS(N26),IF(N25&gt;0,1,2),IF(N26&gt;0,3,4))=2,"gold",IF(IF(ABS(N25)&gt;ABS(N26),IF(N25&gt;0,1,2),IF(N26&gt;0,3,4))=3,"eqty",IF(IF(ABS(N25)&gt;ABS(N26),IF(N25&gt;0,1,2),IF(N26&gt;0,3,4))=4,"bnds",1))))</f>
        <v>cash</v>
      </c>
      <c r="K25" t="s">
        <v>136</v>
      </c>
      <c r="M25" s="7">
        <f ca="1">_xll.BDP("gtesp2y govt","bid yield")</f>
        <v>0.53472299999999995</v>
      </c>
      <c r="N25" s="7">
        <f>_xll.BDP("gspg2yr index","CHG neT 5d")</f>
        <v>0.129</v>
      </c>
      <c r="O25" s="7">
        <f>_xll.BDP("gspg2yr index","CHG neT 1m")</f>
        <v>0.42699999999999999</v>
      </c>
      <c r="P25" s="7">
        <f>IF(ISNUMBER(_xll.BDP("gspg2yr index","CHG neT 1yr")),_xll.BDP("gspg2yr index","CHG neT 1yr"),"na")</f>
        <v>1.012</v>
      </c>
      <c r="Q25" s="7">
        <f t="shared" si="4"/>
        <v>1</v>
      </c>
      <c r="S25" t="str">
        <f>+IF(IF(ABS(W25)&gt;ABS(W26),IF(W25&gt;0,1,2),IF(W26&gt;0,3,4))=1,"cash",IF(IF(ABS(W25)&gt;ABS(W26),IF(W25&gt;0,1,2),IF(W26&gt;0,3,4))=2,"gold",IF(IF(ABS(W25)&gt;ABS(W26),IF(W25&gt;0,1,2),IF(W26&gt;0,3,4))=3,"eqty",IF(IF(ABS(W25)&gt;ABS(W26),IF(W25&gt;0,1,2),IF(W26&gt;0,3,4))=4,"bnds",1))))</f>
        <v>eqty</v>
      </c>
      <c r="T25" t="s">
        <v>166</v>
      </c>
      <c r="V25" s="7">
        <f>+AF27</f>
        <v>2.2010000000000001</v>
      </c>
      <c r="W25" s="7">
        <f>+AF27-AF28</f>
        <v>1.0000000000000231E-2</v>
      </c>
      <c r="X25" s="7">
        <f>+AF27-AF31</f>
        <v>-8.2999999999999741E-2</v>
      </c>
      <c r="Y25" s="7">
        <f>+AF27-AF79</f>
        <v>-0.46399999999999997</v>
      </c>
      <c r="Z25" s="7">
        <f t="shared" si="5"/>
        <v>0</v>
      </c>
      <c r="AE25" t="s">
        <v>174</v>
      </c>
      <c r="AH25" t="s">
        <v>177</v>
      </c>
    </row>
    <row r="26" spans="1:35" x14ac:dyDescent="0.25">
      <c r="A26" t="str">
        <f>+IF(F25&gt;F26,IF(ABS(F25)&gt;ABS(F26),"out","eqty"),IF(ABS(F25)&gt;ABS(F26),"eqty+bnds","gold"))</f>
        <v>out</v>
      </c>
      <c r="B26" t="s">
        <v>102</v>
      </c>
      <c r="D26" s="7">
        <f ca="1">_xll.BDP("gtdem10y govt","bid yield")</f>
        <v>0.95318800000000004</v>
      </c>
      <c r="E26" s="10">
        <f>_xll.BDP("gdbr10 index","CHG neT 5d")</f>
        <v>0.104</v>
      </c>
      <c r="F26" s="10">
        <f>_xll.BDP("gdbr10 index","CHG neT 1m")</f>
        <v>0.441</v>
      </c>
      <c r="G26" s="10">
        <f>IF(ISNUMBER(_xll.BDP("gdbr10 index","CHG neT 1yr")),_xll.BDP("gdbr10 index","CHG neT 1yr"),"na")</f>
        <v>1.198</v>
      </c>
      <c r="H26" s="7">
        <f t="shared" si="3"/>
        <v>1</v>
      </c>
      <c r="J26" t="str">
        <f>+IF(IF(ABS(O25)&gt;ABS(O26),IF(O25&gt;0,1,2),IF(O26&gt;0,3,4))=1,"cash",IF(IF(ABS(O25)&gt;ABS(O26),IF(O25&gt;0,1,2),IF(O26&gt;0,3,4))=2,"gold",IF(IF(ABS(O25)&gt;ABS(O26),IF(O25&gt;0,1,2),IF(O26&gt;0,3,4))=3,"eqty",IF(IF(ABS(O25)&gt;ABS(O26),IF(O25&gt;0,1,2),IF(O26&gt;0,3,4))=4,"bnds",1))))</f>
        <v>eqty</v>
      </c>
      <c r="K26" t="s">
        <v>137</v>
      </c>
      <c r="M26" s="7">
        <f ca="1">_xll.BDP("gtesp10y govt","bid yield")</f>
        <v>1.9181010000000001</v>
      </c>
      <c r="N26" s="7">
        <f>_xll.BDP("gspg10yr index","CHG neT 5d")</f>
        <v>0.128</v>
      </c>
      <c r="O26" s="7">
        <f>_xll.BDP("gspg10yr index","CHG neT 1m")</f>
        <v>0.48799999999999999</v>
      </c>
      <c r="P26" s="10">
        <f>IF(ISNUMBER(_xll.BDP("gspg10yr index","CHG neT 1yr")),_xll.BDP("gspg10yr index","CHG neT 1yr"),"na")</f>
        <v>1.5150000000000001</v>
      </c>
      <c r="Q26" s="7">
        <f t="shared" si="4"/>
        <v>1</v>
      </c>
      <c r="S26" t="str">
        <f>+IF(IF(ABS(X25)&gt;ABS(X26),IF(X25&gt;0,1,2),IF(X26&gt;0,3,4))=1,"cash",IF(IF(ABS(X25)&gt;ABS(X26),IF(X25&gt;0,1,2),IF(X26&gt;0,3,4))=2,"gold",IF(IF(ABS(X25)&gt;ABS(X26),IF(X25&gt;0,1,2),IF(X26&gt;0,3,4))=3,"eqty",IF(IF(ABS(X25)&gt;ABS(X26),IF(X25&gt;0,1,2),IF(X26&gt;0,3,4))=4,"bnds",1))))</f>
        <v>gold</v>
      </c>
      <c r="T26" t="s">
        <v>167</v>
      </c>
      <c r="V26" s="7">
        <f>+AI27</f>
        <v>2.84</v>
      </c>
      <c r="W26" s="7">
        <f>+AI27-AI28</f>
        <v>5.7999999999999829E-2</v>
      </c>
      <c r="X26" s="7">
        <f>+AI27-AI31</f>
        <v>4.1999999999999815E-2</v>
      </c>
      <c r="Y26" s="7">
        <f>+AI27-AI79</f>
        <v>-0.33200000000000029</v>
      </c>
      <c r="Z26" s="7">
        <f t="shared" si="5"/>
        <v>0</v>
      </c>
      <c r="AE26" t="s">
        <v>175</v>
      </c>
      <c r="AF26" t="s">
        <v>176</v>
      </c>
      <c r="AH26" t="s">
        <v>175</v>
      </c>
      <c r="AI26" t="s">
        <v>176</v>
      </c>
    </row>
    <row r="27" spans="1:35" x14ac:dyDescent="0.25">
      <c r="B27" t="s">
        <v>123</v>
      </c>
      <c r="D27" s="6">
        <f>_xll.BDP("CEEREU curncy", "px last")</f>
        <v>94.492400000000004</v>
      </c>
      <c r="E27" s="7">
        <f>_xll.BDP("CEEREU curncy","CHG PCT 5d")</f>
        <v>0.68479999999999996</v>
      </c>
      <c r="F27" s="7">
        <f>_xll.BDP("CEEREU curncy", "CHG PCT 1M")</f>
        <v>1.3452999999999999</v>
      </c>
      <c r="G27" s="10">
        <f>_xll.BDP("CEEREU curncy", "CHG PCT 1yr")</f>
        <v>2.2827000000000002</v>
      </c>
      <c r="H27" s="7">
        <f t="shared" si="3"/>
        <v>1</v>
      </c>
      <c r="K27" t="s">
        <v>123</v>
      </c>
      <c r="M27" s="7">
        <f>_xll.BDP("CEEREU curncy", "px last")</f>
        <v>94.492400000000004</v>
      </c>
      <c r="N27" s="7">
        <f>_xll.BDP("CEEREU curncy","CHG PCT 5d")</f>
        <v>0.68479999999999996</v>
      </c>
      <c r="O27" s="7">
        <f>_xll.BDP("CEEREU curncy", "CHG PCT 1M")</f>
        <v>1.3452999999999999</v>
      </c>
      <c r="P27" s="10">
        <f>_xll.BDP("CEEREU curncy", "CHG PCT 1yr")</f>
        <v>2.2827000000000002</v>
      </c>
      <c r="Q27" s="7">
        <f t="shared" si="4"/>
        <v>1</v>
      </c>
      <c r="T27" t="s">
        <v>126</v>
      </c>
      <c r="V27" s="7">
        <f>_xll.BDP("ATWICNY curncy", "px last")</f>
        <v>131.85</v>
      </c>
      <c r="W27" s="7">
        <f>_xll.BDP("ATWICNY curncy","CHG PCT 5d")</f>
        <v>-0.63</v>
      </c>
      <c r="X27" s="7">
        <f>-_xll.BDP("ATWICNY curncy", "CHG PCT 1M")</f>
        <v>0.68</v>
      </c>
      <c r="Y27" s="10">
        <f>-_xll.BDP("ATWICNY curncy", "CHG PCT 1yr")</f>
        <v>-6.35</v>
      </c>
      <c r="Z27" s="7">
        <f t="shared" si="5"/>
        <v>0</v>
      </c>
      <c r="AE27" s="3">
        <f ca="1">_xll.BDH(AE25,AF26:AF26,TODAY()-365,TODAY(),"Dir=V","Dts=S","Sort=D","Quote=C","QtTyp=Y","Days=W","Per=cw","DtFmt=D","Fill=P","UseDPDF=Y","cols=2;rows=53")</f>
        <v>44673</v>
      </c>
      <c r="AF27">
        <v>2.2010000000000001</v>
      </c>
      <c r="AH27" s="3">
        <f ca="1">_xll.BDH(AH25,AI26:AI26,TODAY()-365,TODAY(),"Dir=V","Dts=S","Sort=D","Quote=C","QtTyp=Y","Days=W","Per=cw","DtFmt=D","Fill=P","UseDPDF=Y","cols=2;rows=53")</f>
        <v>44673</v>
      </c>
      <c r="AI27">
        <v>2.84</v>
      </c>
    </row>
    <row r="28" spans="1:35" x14ac:dyDescent="0.25">
      <c r="B28" t="s">
        <v>122</v>
      </c>
      <c r="D28" s="15">
        <f>_xll.BDP(B28&amp;" index","best pe ratio")</f>
        <v>12.75228131613799</v>
      </c>
      <c r="E28" s="7">
        <f>_xll.BDP(B28&amp;" INDEX","CHG PCT 5d")</f>
        <v>0.57080109999999995</v>
      </c>
      <c r="F28" s="7">
        <f>_xll.BDP(B28&amp;" INDEX","CHG PCT 1M")</f>
        <v>-1.943651</v>
      </c>
      <c r="G28" s="10">
        <f>_xll.BDP(B28&amp;" INDEX","CHG PCT 1YR")</f>
        <v>-4.1095439999999996</v>
      </c>
      <c r="H28" s="7">
        <f t="shared" si="3"/>
        <v>0</v>
      </c>
      <c r="K28" t="s">
        <v>133</v>
      </c>
      <c r="M28" s="15">
        <f>_xll.BDP(K28&amp;" index","pe ratio")</f>
        <v>12.581715534735658</v>
      </c>
      <c r="N28" s="7">
        <f>_xll.BDP(K28&amp;" INDEX","CHG PCT 5d")</f>
        <v>1.1267400000000001</v>
      </c>
      <c r="O28" s="7">
        <f>_xll.BDP(K28&amp;" INDEX","CHG PCT 1M")</f>
        <v>2.6828660000000002</v>
      </c>
      <c r="P28" s="10">
        <f>_xll.BDP(K28&amp;" INDEX","CHG PCT 1YR")</f>
        <v>0.67115550000000002</v>
      </c>
      <c r="Q28" s="7">
        <f t="shared" si="4"/>
        <v>1</v>
      </c>
      <c r="T28" t="s">
        <v>173</v>
      </c>
      <c r="V28" s="15">
        <f>_xll.BDP(T28&amp;" index","best pe ratio")</f>
        <v>11.897242794778492</v>
      </c>
      <c r="W28" s="7">
        <f>_xll.BDP(T28&amp;" INDEX","CHG PCT 5d")</f>
        <v>-3.390374</v>
      </c>
      <c r="X28" s="7">
        <f>_xll.BDP(T28&amp;" INDEX","CHG PCT 1M")</f>
        <v>-1.7308870000000001</v>
      </c>
      <c r="Y28" s="10">
        <f>_xll.BDP(T28&amp;" INDEX","CHG PCT 1YR")</f>
        <v>-21.366859999999999</v>
      </c>
      <c r="Z28" s="7">
        <f t="shared" si="5"/>
        <v>-1</v>
      </c>
      <c r="AE28" s="3">
        <v>44666</v>
      </c>
      <c r="AF28">
        <v>2.1909999999999998</v>
      </c>
      <c r="AH28" s="3">
        <v>44666</v>
      </c>
      <c r="AI28">
        <v>2.782</v>
      </c>
    </row>
    <row r="29" spans="1:35" x14ac:dyDescent="0.25">
      <c r="D29" s="39">
        <f ca="1">+D26-D18</f>
        <v>-6.4468120000000004</v>
      </c>
      <c r="E29" s="7"/>
      <c r="F29" s="7"/>
      <c r="G29" s="7"/>
      <c r="H29" s="7"/>
      <c r="M29" s="39">
        <f ca="1">+M26-M18</f>
        <v>-7.8818990000000007</v>
      </c>
      <c r="N29" s="7"/>
      <c r="O29" s="7"/>
      <c r="P29" s="7"/>
      <c r="Q29" s="7"/>
      <c r="V29" s="39">
        <f>+V26-V18</f>
        <v>1.3399999999999999</v>
      </c>
      <c r="W29" s="7"/>
      <c r="X29" s="7"/>
      <c r="Y29" s="7"/>
      <c r="Z29" s="7"/>
      <c r="AA29" s="7"/>
      <c r="AE29" s="3">
        <v>44659</v>
      </c>
      <c r="AF29">
        <v>2.2839999999999998</v>
      </c>
      <c r="AH29" s="3">
        <v>44659</v>
      </c>
      <c r="AI29">
        <v>2.7549999999999999</v>
      </c>
    </row>
    <row r="30" spans="1:35" x14ac:dyDescent="0.25">
      <c r="A30" s="19" t="s">
        <v>4</v>
      </c>
      <c r="B30" s="13">
        <f>+SUM(A31:A35)</f>
        <v>-1</v>
      </c>
      <c r="C30" s="1"/>
      <c r="D30" s="1"/>
      <c r="E30" s="1"/>
      <c r="F30" s="23"/>
      <c r="G30" s="23"/>
      <c r="H30" s="7"/>
      <c r="J30" s="19" t="s">
        <v>18</v>
      </c>
      <c r="K30" s="13">
        <f>+SUM(J31:J35)</f>
        <v>-1</v>
      </c>
      <c r="L30" s="1"/>
      <c r="M30" s="1"/>
      <c r="N30" s="1"/>
      <c r="O30" s="23"/>
      <c r="P30" s="23"/>
      <c r="Q30" s="7"/>
      <c r="S30" s="19" t="s">
        <v>178</v>
      </c>
      <c r="T30" s="13">
        <f>+SUM(S31:S35)</f>
        <v>1</v>
      </c>
      <c r="U30" s="1"/>
      <c r="V30" s="1"/>
      <c r="W30" s="1"/>
      <c r="X30" s="23"/>
      <c r="Y30" s="23"/>
      <c r="Z30" s="7"/>
      <c r="AA30" s="7"/>
      <c r="AE30" s="3">
        <v>44652</v>
      </c>
      <c r="AF30">
        <v>2.2839999999999998</v>
      </c>
      <c r="AH30" s="3">
        <v>44652</v>
      </c>
      <c r="AI30">
        <v>2.7749999999999999</v>
      </c>
    </row>
    <row r="31" spans="1:35" x14ac:dyDescent="0.25">
      <c r="A31" s="8">
        <f>+IF(D31&gt;2.5,-1,+IF(D31&lt;1,-1,0))</f>
        <v>0</v>
      </c>
      <c r="B31" t="s">
        <v>2</v>
      </c>
      <c r="D31" s="15">
        <f>_xll.BDP("jncpiyoy INDEX","px last")</f>
        <v>1.2</v>
      </c>
      <c r="E31" s="7" t="str">
        <f>IF(ISNUMBER(_xll.BDP("jncpiyoy index","CHG neT 5d")),_xll.BDP("jncpiyoy index","CHG neT 5d"),"na")</f>
        <v>na</v>
      </c>
      <c r="F31" s="7">
        <f>IF(ISNUMBER(_xll.BDP("jncpiyoy index","CHG neT 1m")),_xll.BDP("jncpiyoy index","CHG neT 1m"),"na")</f>
        <v>0.3</v>
      </c>
      <c r="G31" s="7">
        <f>IF(ISNUMBER(_xll.BDP("jncpiyoy index","CHG neT 1yr")),_xll.BDP("jncpiyoy index","CHG neT 1yr"),"na")</f>
        <v>1.6</v>
      </c>
      <c r="H31" s="7">
        <f t="shared" ref="H31:H41" si="6">+IF(AND(E31&gt;0,F31&gt;0,G31&gt;0),1,0)+IF(AND(E31&lt;0,F31&lt;0,G31&lt;0),-1,0)</f>
        <v>1</v>
      </c>
      <c r="J31" s="8">
        <f>+IF(M31&gt;2.5,-1,+IF(M31&lt;1,-1,0))</f>
        <v>-1</v>
      </c>
      <c r="K31" t="s">
        <v>2</v>
      </c>
      <c r="M31" s="15">
        <f>_xll.BDP("itcpiyoy INDEX","PX LAST")</f>
        <v>6.4</v>
      </c>
      <c r="N31" s="7" t="str">
        <f>IF(ISNUMBER(_xll.BDP("itcpiyoy index","CHG neT 5d")),_xll.BDP("itcpiyoy index","CHG neT 5d"),"na")</f>
        <v>na</v>
      </c>
      <c r="O31" s="7">
        <f>IF(ISNUMBER(_xll.BDP("itcpiyoy index","CHG neT 1m")),_xll.BDP("itcpiyoy index","CHG neT 1m"),"na")</f>
        <v>0.8</v>
      </c>
      <c r="P31" s="7">
        <f>IF(ISNUMBER(_xll.BDP("itcpiyoy index","CHG neT 1yr")),_xll.BDP("itcpiyoy index","CHG neT 1yr"),"na")</f>
        <v>5.7</v>
      </c>
      <c r="Q31" s="7">
        <f t="shared" ref="Q31:Q41" si="7">+IF(AND(N31&gt;0,O31&gt;0,P31&gt;0),1,0)+IF(AND(N31&lt;0,O31&lt;0,P31&lt;0),-1,0)</f>
        <v>1</v>
      </c>
      <c r="S31" s="8">
        <f>+IF(V31&gt;2.5,-1,+IF(V31&lt;1,-1,0))</f>
        <v>-1</v>
      </c>
      <c r="T31" t="s">
        <v>2</v>
      </c>
      <c r="V31" s="15">
        <f>_xll.BDP("rucpiyoy INDEX","PX LAST")</f>
        <v>16.690000000000001</v>
      </c>
      <c r="W31" s="7" t="str">
        <f>IF(ISNUMBER(_xll.BDP("rucpiyoy index","CHG neT 5d")),_xll.BDP("rucpiyoy index","CHG neT 5d"),"na")</f>
        <v>na</v>
      </c>
      <c r="X31" s="7">
        <f>IF(ISNUMBER(_xll.BDP("rucpiyoy index","CHG neT 1m")),_xll.BDP("rucpiyoy index","CHG neT 1m"),"na")</f>
        <v>7.51</v>
      </c>
      <c r="Y31" s="7">
        <f>IF(ISNUMBER(_xll.BDP("rucpiyoy index","CHG neT 1yr")),_xll.BDP("rucpiyoy index","CHG neT 1yr"),"na")</f>
        <v>10.89</v>
      </c>
      <c r="Z31" s="7"/>
      <c r="AE31" s="3">
        <v>44645</v>
      </c>
      <c r="AF31">
        <v>2.2839999999999998</v>
      </c>
      <c r="AH31" s="3">
        <v>44645</v>
      </c>
      <c r="AI31">
        <v>2.798</v>
      </c>
    </row>
    <row r="32" spans="1:35" x14ac:dyDescent="0.25">
      <c r="A32" s="8">
        <f>+IF(D32&gt;2.5,1,+IF(D32&lt;0.5,-1,0))</f>
        <v>-1</v>
      </c>
      <c r="B32" t="s">
        <v>120</v>
      </c>
      <c r="D32" s="15">
        <f>_xll.BDP("JGDPNSAQ index","PX last")</f>
        <v>0.4</v>
      </c>
      <c r="E32" s="7" t="str">
        <f>IF(ISNUMBER(_xll.BDP("JGDPQGDP index","CHG neT 5d")),_xll.BDP("JGDPQGDP index","CHG neT 5d"),"na")</f>
        <v>na</v>
      </c>
      <c r="F32" s="7" t="str">
        <f>IF(ISNUMBER(_xll.BDP("JGDPQGDP index","CHG neT 1m")),_xll.BDP("JGDPQGDP index","CHG neT 1m"),"na")</f>
        <v>na</v>
      </c>
      <c r="G32" s="7">
        <f>IF(ISNUMBER(_xll.BDP("JGDPQGDP index","CHG neT 1yr")),_xll.BDP("JGDPQGDP index","CHG neT 1yr"),"na")</f>
        <v>-0.8</v>
      </c>
      <c r="H32" s="7">
        <f t="shared" si="6"/>
        <v>0</v>
      </c>
      <c r="J32" s="8">
        <f>+IF(M32&gt;2.5,1,+IF(M32&lt;0.5,-1,0))</f>
        <v>1</v>
      </c>
      <c r="K32" t="s">
        <v>120</v>
      </c>
      <c r="M32" s="15">
        <f>_xll.BDP("itpirlys index","px last")</f>
        <v>6.2119999999999997</v>
      </c>
      <c r="N32" s="7" t="str">
        <f>IF(ISNUMBER(_xll.BDP("EUGNEMUQ index","CHG neT 5d")),_xll.BDP("EUGNEMUQ index","CHG neT 5d"),"na")</f>
        <v>na</v>
      </c>
      <c r="O32" s="7" t="str">
        <f>IF(ISNUMBER(_xll.BDP("EUGNEMUQ index","CHG neT 1m")),_xll.BDP("EUGNEMUQ index","CHG neT 1m"),"na")</f>
        <v>na</v>
      </c>
      <c r="P32" s="7">
        <f>IF(ISNUMBER(_xll.BDP("EUGNEMUQ index","CHG neT 1yr")),_xll.BDP("EUGNEMUQ index","CHG neT 1yr"),"na")</f>
        <v>0.6</v>
      </c>
      <c r="Q32" s="7">
        <f t="shared" si="7"/>
        <v>1</v>
      </c>
      <c r="S32" s="8">
        <f>+IF(V32&gt;2.5,1,+IF(V32&lt;0.5,-1,0))</f>
        <v>1</v>
      </c>
      <c r="T32" t="s">
        <v>7</v>
      </c>
      <c r="V32" s="16">
        <f>_xll.BDP("rudprYOY INDEX","PX LAST")</f>
        <v>5</v>
      </c>
      <c r="W32" s="7" t="str">
        <f>IF(ISNUMBER(_xll.BDP("rudprYOY index","CHG neT 5d")),_xll.BDP("rudprYOY index","CHG neT 5d"),"na")</f>
        <v>na</v>
      </c>
      <c r="X32" s="7" t="str">
        <f>IF(ISNUMBER(_xll.BDP("rudprYOY index","CHG neT 1m")),_xll.BDP("rudprPYOY index","CHG neT 1m"),"na")</f>
        <v>na</v>
      </c>
      <c r="Y32" s="7">
        <f>IF(ISNUMBER(_xll.BDP("rudprYOY index","CHG neT 1yr")),_xll.BDP("rudprYOY index","CHG neT 1yr"),"na")</f>
        <v>6.3</v>
      </c>
      <c r="Z32" s="7"/>
      <c r="AE32" s="3">
        <v>44638</v>
      </c>
      <c r="AF32">
        <v>2.2349999999999999</v>
      </c>
      <c r="AH32" s="3">
        <v>44638</v>
      </c>
      <c r="AI32">
        <v>2.8</v>
      </c>
    </row>
    <row r="33" spans="1:35" x14ac:dyDescent="0.25">
      <c r="A33" s="8">
        <f>+IF(D33&gt;0,1,+IF(D33&lt;-3,-1,0))</f>
        <v>-1</v>
      </c>
      <c r="B33" t="s">
        <v>127</v>
      </c>
      <c r="D33" s="16">
        <f>_xll.BDP("ehbbjpy INDEX","PX LAST")</f>
        <v>-6.36</v>
      </c>
      <c r="E33" s="7" t="str">
        <f>IF(ISNUMBER(_xll.BDP("ehbbjpy index","CHG neT 5d")),_xll.BDP("ehbbjpy index","CHG neT 5d"),"na")</f>
        <v>na</v>
      </c>
      <c r="F33" s="7" t="str">
        <f>IF(ISNUMBER(_xll.BDP("ehbbjpy index","CHG neT 1m")),_xll.BDP("ehbbjpy index","CHG neT 1m"),"na")</f>
        <v>na</v>
      </c>
      <c r="G33" s="7">
        <f>IF(ISNUMBER(_xll.BDP("ehbbjpy index","CHG neT 1yr")),_xll.BDP("ehbbjpy index","CHG neT 1yr"),"na")</f>
        <v>3.17</v>
      </c>
      <c r="H33" s="7">
        <f t="shared" si="6"/>
        <v>1</v>
      </c>
      <c r="J33" s="8">
        <f>+IF(M33&gt;0,1,+IF(M33&lt;-3,-1,0))</f>
        <v>-1</v>
      </c>
      <c r="K33" t="s">
        <v>127</v>
      </c>
      <c r="M33" s="15">
        <f>_xll.BDP("EUbdit index","px last")</f>
        <v>-7.2</v>
      </c>
      <c r="N33" s="7" t="str">
        <f>IF(ISNUMBER(_xll.BDP("EUbdsp index","CHG neT 5d")),_xll.BDP("EUbdsp index","CHG neT 5d"),"na")</f>
        <v>na</v>
      </c>
      <c r="O33" s="7" t="str">
        <f>IF(ISNUMBER(_xll.BDP("EUbdsp index","CHG neT 1m")),_xll.BDP("EUbdsp index","CHG neT 1m"),"na")</f>
        <v>na</v>
      </c>
      <c r="P33" s="7">
        <f>IF(ISNUMBER(_xll.BDP("EUbdsp index","CHG neT 1yr")),_xll.BDP("EUbdsp index","CHG neT 1yr"),"na")</f>
        <v>3.4</v>
      </c>
      <c r="Q33" s="7">
        <f t="shared" si="7"/>
        <v>1</v>
      </c>
      <c r="S33" s="8">
        <f>+IF(V33&gt;0,1,+IF(V33&lt;-3,-1,0))</f>
        <v>0</v>
      </c>
      <c r="T33" t="s">
        <v>127</v>
      </c>
      <c r="V33" s="15">
        <f>_xll.BDP("ehbbru INDEX","PX LAST")</f>
        <v>-1.01</v>
      </c>
      <c r="W33" s="7" t="str">
        <f>IF(ISNUMBER(_xll.BDP("ehbbru index","CHG neT 5d")),_xll.BDP("ehbbru index","CHG neT 5d"),"na")</f>
        <v>na</v>
      </c>
      <c r="X33" s="7" t="str">
        <f>IF(ISNUMBER(_xll.BDP("ehbbru index","CHG neT 1m")),_xll.BDP("ehbbru index","CHG neT 1m"),"na")</f>
        <v>na</v>
      </c>
      <c r="Y33" s="7">
        <f>IF(ISNUMBER(_xll.BDP("ehbbru index","CHG neT 1yr")),_xll.BDP("ehbbru index","CHG neT 1yr"),"na")</f>
        <v>1.5899999999999999</v>
      </c>
      <c r="Z33" s="7"/>
      <c r="AE33" s="3">
        <v>44631</v>
      </c>
      <c r="AF33">
        <v>2.2290000000000001</v>
      </c>
      <c r="AH33" s="3">
        <v>44631</v>
      </c>
      <c r="AI33">
        <v>2.7919999999999998</v>
      </c>
    </row>
    <row r="34" spans="1:35" x14ac:dyDescent="0.25">
      <c r="A34" s="8">
        <f>+IF(D34&gt;0,1,+IF(D34&lt;-3,-1,0))</f>
        <v>1</v>
      </c>
      <c r="B34" t="s">
        <v>119</v>
      </c>
      <c r="D34" s="15">
        <f>_xll.BDP("ehcajp INDEX","PX LAST")</f>
        <v>2.86</v>
      </c>
      <c r="E34" s="7" t="str">
        <f>IF(ISNUMBER(_xll.BDP("ehcajp index","CHG neT 5d")),_xll.BDP("ehcajp index","CHG neT 5d"),"na")</f>
        <v>na</v>
      </c>
      <c r="F34" s="7" t="str">
        <f>IF(ISNUMBER(_xll.BDP("ehcajp index","CHG neT 1m")),_xll.BDP("ehcajp index","CHG neT 1m"),"na")</f>
        <v>na</v>
      </c>
      <c r="G34" s="7">
        <f>IF(ISNUMBER(_xll.BDP("ehcajp index","CHG neT 1yr")),_xll.BDP("ehcajp index","CHG neT 1yr"),"na")</f>
        <v>-0.05</v>
      </c>
      <c r="H34" s="7">
        <f t="shared" si="6"/>
        <v>0</v>
      </c>
      <c r="J34" s="8">
        <f>+IF(M34&gt;0,1,+IF(M34&lt;-3,-1,0))</f>
        <v>1</v>
      </c>
      <c r="K34" t="s">
        <v>119</v>
      </c>
      <c r="M34" s="15">
        <f>_xll.BDP("ehcait INDEX","PX LAST")</f>
        <v>2.4500000000000002</v>
      </c>
      <c r="N34" s="7" t="str">
        <f>IF(ISNUMBER(_xll.BDP("ehcait index","CHG neT 5d")),_xll.BDP("ehcait index","CHG neT 5d"),"na")</f>
        <v>na</v>
      </c>
      <c r="O34" s="7" t="str">
        <f>IF(ISNUMBER(_xll.BDP("ehcait index","CHG neT 1m")),_xll.BDP("ehcait index","CHG neT 1m"),"na")</f>
        <v>na</v>
      </c>
      <c r="P34" s="7">
        <f>IF(ISNUMBER(_xll.BDP("ehcait index","CHG neT 1yr")),_xll.BDP("ehcait index","CHG neT 1yr"),"na")</f>
        <v>-1.3</v>
      </c>
      <c r="Q34" s="7">
        <f t="shared" si="7"/>
        <v>0</v>
      </c>
      <c r="S34" s="8">
        <f>+IF(V34&gt;0,1,+IF(V34&lt;-3,-1,0))</f>
        <v>1</v>
      </c>
      <c r="T34" t="s">
        <v>119</v>
      </c>
      <c r="V34" s="15">
        <f>_xll.BDP("ehcaru INDEX","PX LAST")</f>
        <v>6.77</v>
      </c>
      <c r="W34" s="7" t="str">
        <f>IF(ISNUMBER(_xll.BDP("ehcaru index","CHG neT 5d")),_xll.BDP("ehcaru index","CHG neT 5d"),"na")</f>
        <v>na</v>
      </c>
      <c r="X34" s="7" t="str">
        <f>IF(ISNUMBER(_xll.BDP("ehcaru index","CHG neT 1m")),_xll.BDP("ehcaru index","CHG neT 1m"),"na")</f>
        <v>na</v>
      </c>
      <c r="Y34" s="7">
        <f>IF(ISNUMBER(_xll.BDP("ehcaru index","CHG neT 1yr")),_xll.BDP("ehcaru index","CHG neT 1yr"),"na")</f>
        <v>4.22</v>
      </c>
      <c r="Z34" s="7"/>
      <c r="AE34" s="3">
        <v>44624</v>
      </c>
      <c r="AF34">
        <v>2.2490000000000001</v>
      </c>
      <c r="AH34" s="3">
        <v>44624</v>
      </c>
      <c r="AI34">
        <v>2.8220000000000001</v>
      </c>
    </row>
    <row r="35" spans="1:35" x14ac:dyDescent="0.25">
      <c r="A35" s="8">
        <f>+IF(D35&gt;4.5,-1,0)</f>
        <v>0</v>
      </c>
      <c r="B35" t="s">
        <v>145</v>
      </c>
      <c r="C35" t="s">
        <v>115</v>
      </c>
      <c r="D35" s="15">
        <f>_xll.BDP(C35,"px last")</f>
        <v>2.73</v>
      </c>
      <c r="E35" s="7">
        <f>IF(ISNUMBER(_xll.BDP(C35,"CHG neT 5d")),_xll.BDP(C35,"CHG neT 5d"),0)</f>
        <v>0</v>
      </c>
      <c r="F35" s="7">
        <f>IF(ISNUMBER(_xll.BDP(C35,"CHG neT 1m")),_xll.BDP(C35,"CHG neT 1m"),0)</f>
        <v>0</v>
      </c>
      <c r="G35" s="7">
        <f>IF(ISNUMBER(_xll.BDP(C35,"CHG neT 1yr")),_xll.BDP(C35,"CHG neT 1yr"),0)</f>
        <v>-0.27</v>
      </c>
      <c r="H35" s="7">
        <f t="shared" si="6"/>
        <v>0</v>
      </c>
      <c r="J35" s="8">
        <f>+IF(M35&gt;4.5,-1,0)</f>
        <v>-1</v>
      </c>
      <c r="K35" t="s">
        <v>145</v>
      </c>
      <c r="L35" t="s">
        <v>147</v>
      </c>
      <c r="M35" s="16">
        <f>_xll.BDP(L35,"px last")</f>
        <v>9.0299999999999994</v>
      </c>
      <c r="N35" s="7">
        <f>IF(ISNUMBER(_xll.BDP(L35,"CHG neT 5d")),_xll.BDP(L35,"CHG neT 5d"),0)</f>
        <v>0</v>
      </c>
      <c r="O35" s="7">
        <f>IF(ISNUMBER(_xll.BDP(L35,"CHG neT 1m")),_xll.BDP(L35,"CHG neT 1m"),0)</f>
        <v>0</v>
      </c>
      <c r="P35" s="7">
        <f>IF(ISNUMBER(_xll.BDP(L35,"CHG neT 1yr")),_xll.BDP(L35,"CHG neT 1yr"),0)</f>
        <v>-0.74</v>
      </c>
      <c r="Q35" s="7">
        <f t="shared" si="7"/>
        <v>0</v>
      </c>
      <c r="S35" s="8">
        <f>+IF(V35&gt;4.5,-1,0)</f>
        <v>0</v>
      </c>
      <c r="T35" t="s">
        <v>145</v>
      </c>
      <c r="U35" t="s">
        <v>179</v>
      </c>
      <c r="V35" s="15">
        <f>_xll.BDP(U35,"px last")</f>
        <v>4.3</v>
      </c>
      <c r="W35" s="7">
        <f>IF(ISNUMBER(_xll.BDP(U35,"CHG neT 5d")),_xll.BDP(U35,"CHG neT 5d"),0)</f>
        <v>0</v>
      </c>
      <c r="X35" s="7">
        <f>IF(ISNUMBER(_xll.BDP(U35,"CHG neT 1m")),_xll.BDP(U35,"CHG neT 1m"),0)</f>
        <v>0</v>
      </c>
      <c r="Y35" s="7">
        <f>IF(ISNUMBER(_xll.BDP(U35,"CHG neT 1yr")),_xll.BDP(U35,"CHG neT 1yr"),0)</f>
        <v>-1.8</v>
      </c>
      <c r="Z35" s="7"/>
      <c r="AE35" s="3">
        <v>44617</v>
      </c>
      <c r="AF35">
        <v>2.2280000000000002</v>
      </c>
      <c r="AH35" s="3">
        <v>44617</v>
      </c>
      <c r="AI35">
        <v>2.786</v>
      </c>
    </row>
    <row r="36" spans="1:35" x14ac:dyDescent="0.25">
      <c r="A36" s="8" t="str">
        <f>+IF(D37&gt;A37+1,"$ tight",+IF(D37&lt;A37-1,"$ loose","$ ok"))</f>
        <v>$ tight</v>
      </c>
      <c r="B36" t="s">
        <v>92</v>
      </c>
      <c r="D36" s="7">
        <f>_xll.BDP("Jysoc INDEX","px last")</f>
        <v>-2.4889999999999999E-2</v>
      </c>
      <c r="E36" s="7">
        <f>IF(ISNUMBER(_xll.BDP("Jysoc index","CHG neT 5d")),_xll.BDP("Jysoc index","CHG neT 5d"),0)</f>
        <v>1.1100000000000001E-3</v>
      </c>
      <c r="F36" s="7">
        <f>IF(ISNUMBER(_xll.BDP("Jysoc index","CHG neT 1m")),_xll.BDP("Jysoc index","CHG neT 1m"),0)</f>
        <v>-7.3899999999999999E-3</v>
      </c>
      <c r="G36" s="7">
        <f>IF(ISNUMBER(_xll.BDP("Jysoc index","CHG neT 1yr")),_xll.BDP("Jysoc index","CHG neT 1yr"),"na")</f>
        <v>-1.89E-3</v>
      </c>
      <c r="H36" s="7">
        <f t="shared" si="6"/>
        <v>0</v>
      </c>
      <c r="J36" s="8" t="str">
        <f>+IF(M37&gt;J37+1,"$ tight",+IF(M37&lt;J37-1,"$ loose","$ ok"))</f>
        <v>$ tight</v>
      </c>
      <c r="K36" t="s">
        <v>92</v>
      </c>
      <c r="M36" s="7">
        <f>_xll.BDP("gtitl3m govt","yld ytm mid")</f>
        <v>-0.64617104471142994</v>
      </c>
      <c r="N36" s="7" t="s">
        <v>128</v>
      </c>
      <c r="O36" s="7" t="s">
        <v>128</v>
      </c>
      <c r="P36" s="7" t="s">
        <v>128</v>
      </c>
      <c r="Q36" s="7">
        <f t="shared" si="7"/>
        <v>1</v>
      </c>
      <c r="S36" s="8" t="e">
        <f>+IF(V37&gt;S37+1,"$ tight",+IF(V37&lt;S37-1,"$ loose","$ ok"))</f>
        <v>#REF!</v>
      </c>
      <c r="T36" t="s">
        <v>92</v>
      </c>
      <c r="V36" s="7">
        <f>_xll.BDP("micxru3M INDEX","PX LAST")</f>
        <v>14.4451</v>
      </c>
      <c r="W36" s="7">
        <f>IF(ISNUMBER(_xll.BDP("micxru3M index","CHG neT 5d")),_xll.BDP("micxru3M index","CHG neT 5d"),0)</f>
        <v>-0.1326</v>
      </c>
      <c r="X36" s="7">
        <f>IF(ISNUMBER(_xll.BDP("micxru3M index","CHG neT 1m")),_xll.BDP("micxru3M index","CHG neT 1m"),0)</f>
        <v>0.67120000000000002</v>
      </c>
      <c r="Y36" s="7">
        <f>IF(ISNUMBER(_xll.BDP("micxru3M index","CHG neT 1yr")),_xll.BDP("micxru3M index","CHG neT 1yr"),"na")</f>
        <v>9.3612000000000002</v>
      </c>
      <c r="Z36" s="7"/>
      <c r="AE36" s="3">
        <v>44610</v>
      </c>
      <c r="AF36">
        <v>2.1789999999999998</v>
      </c>
      <c r="AH36" s="3">
        <v>44610</v>
      </c>
      <c r="AI36">
        <v>2.8039999999999998</v>
      </c>
    </row>
    <row r="37" spans="1:35" x14ac:dyDescent="0.25">
      <c r="A37" s="8">
        <f>+rates!I18</f>
        <v>-1.4161262203626224</v>
      </c>
      <c r="B37" t="s">
        <v>93</v>
      </c>
      <c r="D37" s="7">
        <f>_xll.BDP("jy0003m INDEX","px last")</f>
        <v>-1.754E-2</v>
      </c>
      <c r="E37" s="7">
        <f>IF(ISNUMBER(_xll.BDP("jy0003m index","CHG neT 5d")),_xll.BDP("jy0003m index","CHG neT 5d"),0)</f>
        <v>-7.2700000000000004E-3</v>
      </c>
      <c r="F37" s="7">
        <f>IF(ISNUMBER(_xll.BDP("jy0003m index","CHG neT 1m")),_xll.BDP("jy0003m index","CHG neT 1m"),0)</f>
        <v>-9.3299999999999998E-3</v>
      </c>
      <c r="G37" s="7">
        <f>IF(ISNUMBER(_xll.BDP("jy0003m index","CHG neT 1yr")),_xll.BDP("jy0003m index","CHG neT 1yr"),0)</f>
        <v>5.4129999999999998E-2</v>
      </c>
      <c r="H37" s="7">
        <f t="shared" si="6"/>
        <v>0</v>
      </c>
      <c r="J37" s="12">
        <f>+rates!S18</f>
        <v>-1.8821587343096229</v>
      </c>
      <c r="K37" t="s">
        <v>93</v>
      </c>
      <c r="M37" s="7">
        <f>_xll.BDP("il0003m INDEX","px last")</f>
        <v>6.2859999999999999E-2</v>
      </c>
      <c r="N37" s="7">
        <f>IF(ISNUMBER(_xll.BDP("il0003m index","CHG neT 5d")),_xll.BDP("il0003m index","CHG neT 5d"),"na")</f>
        <v>7.2000000000000005E-4</v>
      </c>
      <c r="O37" s="7">
        <f>IF(ISNUMBER(_xll.BDP("il0003m index","CHG neT 1m")),_xll.BDP("il0003m index","CHG neT 1m"),"na")</f>
        <v>-1.4300000000000001E-3</v>
      </c>
      <c r="P37" s="7">
        <f>IF(ISNUMBER(_xll.BDP("il0003m index","CHG neT 1yr")),_xll.BDP("il0003m index","CHG neT 1yr"),"na")</f>
        <v>-0.12784999999999999</v>
      </c>
      <c r="Q37" s="7">
        <f t="shared" si="7"/>
        <v>0</v>
      </c>
      <c r="S37" s="12" t="e">
        <f>+rates!#REF!</f>
        <v>#REF!</v>
      </c>
      <c r="T37" t="s">
        <v>93</v>
      </c>
      <c r="V37" s="7">
        <f>_xll.BDP("ruonia INDEX","px last")</f>
        <v>16.239999999999998</v>
      </c>
      <c r="W37" s="7">
        <f>IF(ISNUMBER(_xll.BDP("ruonia index","CHG neT 5d")),_xll.BDP("ruonia index","CHG neT 5d"),0)</f>
        <v>-0.01</v>
      </c>
      <c r="X37" s="7">
        <f>IF(ISNUMBER(_xll.BDP("ruonia index","CHG neT 1m")),_xll.BDP("ruonia index","CHG neT 1m"),0)</f>
        <v>-3.59</v>
      </c>
      <c r="Y37" s="10">
        <f>IF(ISNUMBER(_xll.BDP("ruonia index","CHG neT 1yr")),_xll.BDP("ruonia index","CHG neT 1yr"),0)</f>
        <v>11.87</v>
      </c>
      <c r="Z37" s="7"/>
      <c r="AE37" s="3">
        <v>44603</v>
      </c>
      <c r="AF37">
        <v>2.1880000000000002</v>
      </c>
      <c r="AH37" s="3">
        <v>44603</v>
      </c>
      <c r="AI37">
        <v>2.7869999999999999</v>
      </c>
    </row>
    <row r="38" spans="1:35" x14ac:dyDescent="0.25">
      <c r="A38" t="str">
        <f>+IF(E38&gt;E39,IF(ABS(E38)&gt;ABS(E39),"out","eqty"),IF(ABS(E38)&gt;ABS(E39),"eqty+bnds","gold"))</f>
        <v>gold</v>
      </c>
      <c r="B38" t="s">
        <v>99</v>
      </c>
      <c r="D38" s="7">
        <f>_xll.BDP("gtjpy2y govt","bid yield")</f>
        <v>-5.1999999999999998E-2</v>
      </c>
      <c r="E38" s="7">
        <f>_xll.BDP("Gjgb2 index","CHG neT 5d")</f>
        <v>6.0000000000000001E-3</v>
      </c>
      <c r="F38" s="7">
        <f>_xll.BDP("Gjgb2 index","CHG neT 1m")</f>
        <v>-3.4000000000000002E-2</v>
      </c>
      <c r="G38" s="7">
        <f>IF(ISNUMBER(_xll.BDP("Gjgb2 index","CHG neT 1yr")),_xll.BDP("Gjgb2 index","CHG neT 1yr"),"na")</f>
        <v>7.5999999999999998E-2</v>
      </c>
      <c r="H38" s="7">
        <f t="shared" si="6"/>
        <v>0</v>
      </c>
      <c r="J38" t="str">
        <f>+IF(IF(ABS(N38)&gt;ABS(N39),IF(N38&gt;0,1,2),IF(N39&gt;0,3,4))=1,"cash",IF(IF(ABS(N38)&gt;ABS(N39),IF(N38&gt;0,1,2),IF(N39&gt;0,3,4))=2,"gold",IF(IF(ABS(N38)&gt;ABS(N39),IF(N38&gt;0,1,2),IF(N39&gt;0,3,4))=3,"eqty",IF(IF(ABS(N38)&gt;ABS(N39),IF(N38&gt;0,1,2),IF(N39&gt;0,3,4))=4,"bnds",1))))</f>
        <v>eqty</v>
      </c>
      <c r="K38" t="s">
        <v>134</v>
      </c>
      <c r="M38" s="7">
        <f ca="1">_xll.BDP("gTITL2yr govt","bid yield")</f>
        <v>0.60106899999999996</v>
      </c>
      <c r="N38" s="7">
        <f>_xll.BDP("gbtp2yr index","CHG neT 5d")</f>
        <v>9.5000000000000001E-2</v>
      </c>
      <c r="O38" s="7">
        <f>_xll.BDP("gbtp2yr index","CHG neT 1m")</f>
        <v>0.39</v>
      </c>
      <c r="P38" s="7">
        <f>IF(ISNUMBER(_xll.BDP("gbtp2yr index","CHG neT 1yr")),_xll.BDP("gbtp2yr index","CHG neT 1yr"),"na")</f>
        <v>0.89900000000000002</v>
      </c>
      <c r="Q38" s="7">
        <f t="shared" si="7"/>
        <v>1</v>
      </c>
      <c r="S38" t="str">
        <f>+IF(IF(ABS(W38)&gt;ABS(W39),IF(W38&gt;0,1,2),IF(W39&gt;0,3,4))=1,"cash",IF(IF(ABS(W38)&gt;ABS(W39),IF(W38&gt;0,1,2),IF(W39&gt;0,3,4))=2,"gold",IF(IF(ABS(W38)&gt;ABS(W39),IF(W38&gt;0,1,2),IF(W39&gt;0,3,4))=3,"eqty",IF(IF(ABS(W38)&gt;ABS(W39),IF(W38&gt;0,1,2),IF(W39&gt;0,3,4))=4,"bnds",1))))</f>
        <v>gold</v>
      </c>
      <c r="T38" t="s">
        <v>166</v>
      </c>
      <c r="V38" s="7">
        <f>_xll.BDP("micxru2y INDEX","PX LAST")</f>
        <v>10.092700000000001</v>
      </c>
      <c r="W38" s="7">
        <f>IF(ISNUMBER(_xll.BDP("micxru2y index","CHG neT 5d")),_xll.BDP("micxru2y index","CHG neT 5d"),0)</f>
        <v>-1.1341000000000001</v>
      </c>
      <c r="X38" s="7">
        <f>IF(ISNUMBER(_xll.BDP("micxru2y index","CHG neT 1m")),_xll.BDP("micxru2y index","CHG neT 1m"),0)</f>
        <v>-2.9975000000000001</v>
      </c>
      <c r="Y38" s="7">
        <f>IF(ISNUMBER(_xll.BDP("micxru2y index","CHG neT 1yr")),_xll.BDP("micxru2y index","CHG neT 1yr"),"na")</f>
        <v>4.3842999999999996</v>
      </c>
      <c r="Z38" s="7"/>
      <c r="AE38" s="3">
        <v>44596</v>
      </c>
      <c r="AF38">
        <v>2.117</v>
      </c>
      <c r="AH38" s="3">
        <v>44596</v>
      </c>
      <c r="AI38">
        <v>2.706</v>
      </c>
    </row>
    <row r="39" spans="1:35" x14ac:dyDescent="0.25">
      <c r="A39" t="str">
        <f>+IF(F38&gt;F39,IF(ABS(F38)&gt;ABS(F39),"out","eqty"),IF(ABS(F38)&gt;ABS(F39),"eqty+bnds","gold"))</f>
        <v>eqty+bnds</v>
      </c>
      <c r="B39" t="s">
        <v>100</v>
      </c>
      <c r="D39" s="7">
        <f>_xll.BDP("gtjpy10y govt","bid yield")</f>
        <v>0.25</v>
      </c>
      <c r="E39" s="7">
        <f>_xll.BDP("Gjgb10 index","CHG neT 5d")</f>
        <v>8.9999999999999993E-3</v>
      </c>
      <c r="F39" s="7">
        <f>_xll.BDP("Gjgb10 index","CHG neT 1m")</f>
        <v>3.3000000000000002E-2</v>
      </c>
      <c r="G39" s="10">
        <f>IF(ISNUMBER(_xll.BDP("Gjgb10 index","CHG neT 1yr")),_xll.BDP("Gjgb10 index","CHG neT 1yr"),"na")</f>
        <v>0.17799999999999999</v>
      </c>
      <c r="H39" s="7">
        <f t="shared" si="6"/>
        <v>1</v>
      </c>
      <c r="J39" t="str">
        <f>+IF(IF(ABS(O38)&gt;ABS(O39),IF(O38&gt;0,1,2),IF(O39&gt;0,3,4))=1,"cash",IF(IF(ABS(O38)&gt;ABS(O39),IF(O38&gt;0,1,2),IF(O39&gt;0,3,4))=2,"gold",IF(IF(ABS(O38)&gt;ABS(O39),IF(O38&gt;0,1,2),IF(O39&gt;0,3,4))=3,"eqty",IF(IF(ABS(O38)&gt;ABS(O39),IF(O38&gt;0,1,2),IF(O39&gt;0,3,4))=4,"bnds",1))))</f>
        <v>eqty</v>
      </c>
      <c r="K39" t="s">
        <v>135</v>
      </c>
      <c r="M39" s="7">
        <f ca="1">_xll.BDP("gTITL10yr govt","bid yield")</f>
        <v>2.6439249999999999</v>
      </c>
      <c r="N39" s="7">
        <f>_xll.BDP("gbtp10yr index","CHG neT 5d")</f>
        <v>0.123</v>
      </c>
      <c r="O39" s="7">
        <f>_xll.BDP("gbtp10yr index","CHG neT 1m")</f>
        <v>0.59199999999999997</v>
      </c>
      <c r="P39" s="10">
        <f>IF(ISNUMBER(_xll.BDP("gbtp10yr index","CHG neT 1yr")),_xll.BDP("gbtp10yr index","CHG neT 1yr"),"na")</f>
        <v>1.823</v>
      </c>
      <c r="Q39" s="7">
        <f t="shared" si="7"/>
        <v>1</v>
      </c>
      <c r="S39" t="str">
        <f>+IF(IF(ABS(X38)&gt;ABS(X39),IF(X38&gt;0,1,2),IF(X39&gt;0,3,4))=1,"cash",IF(IF(ABS(X38)&gt;ABS(X39),IF(X38&gt;0,1,2),IF(X39&gt;0,3,4))=2,"gold",IF(IF(ABS(X38)&gt;ABS(X39),IF(X38&gt;0,1,2),IF(X39&gt;0,3,4))=3,"eqty",IF(IF(ABS(X38)&gt;ABS(X39),IF(X38&gt;0,1,2),IF(X39&gt;0,3,4))=4,"bnds",1))))</f>
        <v>gold</v>
      </c>
      <c r="T39" t="s">
        <v>167</v>
      </c>
      <c r="V39" s="7">
        <f>_xll.BDP("micxru10y INDEX","PX LAST")</f>
        <v>9.9256999999999991</v>
      </c>
      <c r="W39" s="7">
        <f>IF(ISNUMBER(_xll.BDP("micxru10y index","CHG neT 5d")),_xll.BDP("micxru10y index","CHG neT 5d"),0)</f>
        <v>-0.69020000000000004</v>
      </c>
      <c r="X39" s="7">
        <f>IF(ISNUMBER(_xll.BDP("micxru10y index","CHG neT 1m")),_xll.BDP("micxru10y index","CHG neT 1m"),0)</f>
        <v>-2.5897999999999999</v>
      </c>
      <c r="Y39" s="7">
        <f>IF(ISNUMBER(_xll.BDP("micxru10y index","CHG neT 1yr")),_xll.BDP("micxru10y index","CHG neT 1yr"),"na")</f>
        <v>2.7625000000000002</v>
      </c>
      <c r="Z39" s="7"/>
      <c r="AE39" s="3">
        <v>44589</v>
      </c>
      <c r="AF39">
        <v>2.117</v>
      </c>
      <c r="AH39" s="3">
        <v>44589</v>
      </c>
      <c r="AI39">
        <v>2.706</v>
      </c>
    </row>
    <row r="40" spans="1:35" x14ac:dyDescent="0.25">
      <c r="B40" t="s">
        <v>124</v>
      </c>
      <c r="D40" s="7">
        <f>_xll.BDP("TWI JPSP curncy", "px last")</f>
        <v>99.14</v>
      </c>
      <c r="E40" s="7">
        <f>_xll.BDP("TWI JPSP curncy","CHG PCT 5d")</f>
        <v>-1.34</v>
      </c>
      <c r="F40" s="7">
        <f>_xll.BDP("TWI JPSP curncy", "CHG PCT 1M")</f>
        <v>-4.87</v>
      </c>
      <c r="G40" s="10">
        <f>_xll.BDP("TWI JPSP curncy", "CHG PCT 1yr")</f>
        <v>-11.7</v>
      </c>
      <c r="H40" s="7">
        <f t="shared" si="6"/>
        <v>-1</v>
      </c>
      <c r="K40" t="s">
        <v>123</v>
      </c>
      <c r="M40" s="7">
        <f>_xll.BDP("CEEREU curncy", "px last")</f>
        <v>94.492400000000004</v>
      </c>
      <c r="N40" s="7">
        <f>_xll.BDP("CEEREU curncy","CHG PCT 5d")</f>
        <v>0.68479999999999996</v>
      </c>
      <c r="O40" s="7">
        <f>_xll.BDP("CEEREU curncy", "CHG PCT 1M")</f>
        <v>1.3452999999999999</v>
      </c>
      <c r="P40" s="10">
        <f>_xll.BDP("CEEREU curncy", "CHG PCT 1yr")</f>
        <v>2.2827000000000002</v>
      </c>
      <c r="Q40" s="7">
        <f t="shared" si="7"/>
        <v>1</v>
      </c>
      <c r="T40" t="s">
        <v>180</v>
      </c>
      <c r="V40" s="7" t="str">
        <f>_xll.BDP("bcfxrubr curncy", "px last")</f>
        <v>#N/A Invalid Security</v>
      </c>
      <c r="W40" s="7" t="str">
        <f>_xll.BDP("bcfxrubr curncy","CHG PCT 5d")</f>
        <v>#N/A Invalid Security</v>
      </c>
      <c r="X40" s="7" t="e">
        <f>-_xll.BDP("bcfxrubr curncy", "CHG PCT 1M")</f>
        <v>#VALUE!</v>
      </c>
      <c r="Y40" s="10" t="e">
        <f>-_xll.BDP("bcfxrubr curncy", "CHG PCT 1yr")</f>
        <v>#VALUE!</v>
      </c>
      <c r="Z40" s="7"/>
      <c r="AE40" s="3">
        <v>44582</v>
      </c>
      <c r="AF40">
        <v>2.13</v>
      </c>
      <c r="AH40" s="3">
        <v>44582</v>
      </c>
      <c r="AI40">
        <v>2.7050000000000001</v>
      </c>
    </row>
    <row r="41" spans="1:35" x14ac:dyDescent="0.25">
      <c r="B41" t="s">
        <v>9</v>
      </c>
      <c r="D41" s="15">
        <f>_xll.BDP(B41&amp;" index","best pe ratio")</f>
        <v>14.963044238092239</v>
      </c>
      <c r="E41" s="7">
        <f>_xll.BDP(B41&amp;" INDEX","CHG PCT 5d")</f>
        <v>4.4551960000000002E-2</v>
      </c>
      <c r="F41" s="7">
        <f>_xll.BDP(B41&amp;" INDEX","CHG PCT 1M")</f>
        <v>-0.43656020000000001</v>
      </c>
      <c r="G41" s="10">
        <f>_xll.BDP(B41&amp;" INDEX","CHG PCT 1YR")</f>
        <v>-7.136145</v>
      </c>
      <c r="H41" s="7">
        <f t="shared" si="6"/>
        <v>0</v>
      </c>
      <c r="K41" t="s">
        <v>138</v>
      </c>
      <c r="M41" s="15">
        <f>_xll.BDP(K41&amp;" index","best pe ratio")</f>
        <v>9.4781709741247173</v>
      </c>
      <c r="N41" s="7">
        <f>_xll.BDP(K41&amp;" INDEX","CHG PCT 5d")</f>
        <v>-1.5656000000000001</v>
      </c>
      <c r="O41" s="7">
        <f>_xll.BDP(K41&amp;" INDEX","CHG PCT 1M")</f>
        <v>-0.81002589999999997</v>
      </c>
      <c r="P41" s="10">
        <f>_xll.BDP(K41&amp;" INDEX","CHG PCT 1YR")</f>
        <v>-0.25944630000000002</v>
      </c>
      <c r="Q41" s="7">
        <f t="shared" si="7"/>
        <v>-1</v>
      </c>
      <c r="T41" t="s">
        <v>181</v>
      </c>
      <c r="V41" s="15" t="str">
        <f>_xll.BDP(T41&amp;" index","best pe ratio")</f>
        <v>#N/A N/A</v>
      </c>
      <c r="W41" s="7" t="str">
        <f>_xll.BDP(T41&amp;" INDEX","CHG PCT 5d")</f>
        <v>#N/A N/A</v>
      </c>
      <c r="X41" s="7" t="str">
        <f>_xll.BDP(T41&amp;" INDEX","CHG PCT 1M")</f>
        <v>#N/A N/A</v>
      </c>
      <c r="Y41" s="10" t="str">
        <f>_xll.BDP(T41&amp;" INDEX","CHG PCT 1YR")</f>
        <v>#N/A N/A</v>
      </c>
      <c r="Z41" s="7"/>
      <c r="AE41" s="3">
        <v>44575</v>
      </c>
      <c r="AF41">
        <v>2.3330000000000002</v>
      </c>
      <c r="AH41" s="3">
        <v>44575</v>
      </c>
      <c r="AI41">
        <v>2.7919999999999998</v>
      </c>
    </row>
    <row r="42" spans="1:35" x14ac:dyDescent="0.25">
      <c r="C42" s="22"/>
      <c r="D42" s="39">
        <f>+D39-D31</f>
        <v>-0.95</v>
      </c>
      <c r="M42" s="39">
        <f ca="1">+M39-M31</f>
        <v>-3.7560750000000005</v>
      </c>
      <c r="V42" s="39">
        <f>+V39-V31</f>
        <v>-6.7643000000000022</v>
      </c>
      <c r="W42" s="7"/>
      <c r="X42" s="7"/>
      <c r="Y42" s="7"/>
      <c r="Z42" s="7"/>
      <c r="AE42" s="3">
        <v>44568</v>
      </c>
      <c r="AF42">
        <v>2.3490000000000002</v>
      </c>
      <c r="AH42" s="3">
        <v>44568</v>
      </c>
      <c r="AI42">
        <v>2.8170000000000002</v>
      </c>
    </row>
    <row r="43" spans="1:35" x14ac:dyDescent="0.25">
      <c r="A43" s="19" t="s">
        <v>5</v>
      </c>
      <c r="B43" s="13">
        <f>+SUM(A44:A48)</f>
        <v>-1</v>
      </c>
      <c r="C43" s="1"/>
      <c r="D43" s="1"/>
      <c r="E43" s="1"/>
      <c r="F43" s="23"/>
      <c r="G43" s="23"/>
      <c r="H43" s="7"/>
      <c r="J43" s="19" t="s">
        <v>139</v>
      </c>
      <c r="K43" s="13">
        <f>+SUM(J44:J48)</f>
        <v>-2</v>
      </c>
      <c r="L43" s="1"/>
      <c r="M43" s="1"/>
      <c r="N43" s="1"/>
      <c r="O43" s="23"/>
      <c r="P43" s="23"/>
      <c r="Q43" s="7"/>
      <c r="V43" s="15"/>
      <c r="W43" s="7"/>
      <c r="X43" s="7"/>
      <c r="Y43" s="7"/>
      <c r="Z43" s="7"/>
      <c r="AE43" s="3">
        <v>44561</v>
      </c>
      <c r="AF43">
        <v>2.351</v>
      </c>
      <c r="AH43" s="3">
        <v>44561</v>
      </c>
      <c r="AI43">
        <v>2.7719999999999998</v>
      </c>
    </row>
    <row r="44" spans="1:35" x14ac:dyDescent="0.25">
      <c r="A44" s="8">
        <f>+IF(D44&gt;2.5,-1,+IF(D44&lt;1,-1,0))</f>
        <v>-1</v>
      </c>
      <c r="B44" t="s">
        <v>2</v>
      </c>
      <c r="D44" s="15">
        <f>_xll.BDP("UKrpyoy INDEX","PX LAST")</f>
        <v>9</v>
      </c>
      <c r="E44" s="7" t="str">
        <f>IF(ISNUMBER(_xll.BDP("UKrpyoy index","CHG neT 5d")),_xll.BDP("UKrpyoy index","CHG neT 5d"),"na")</f>
        <v>na</v>
      </c>
      <c r="F44" s="7">
        <f>IF(ISNUMBER(_xll.BDP("UKrpyoy index","CHG neT 1m")),_xll.BDP("UKrpyoy index","CHG neT 1m"),"na")</f>
        <v>0.8</v>
      </c>
      <c r="G44" s="7">
        <f>IF(ISNUMBER(_xll.BDP("UKrpyoy index","CHG neT 1yr")),_xll.BDP("UKrpyoy index","CHG neT 1yr"),"na")</f>
        <v>7.5</v>
      </c>
      <c r="H44" s="7"/>
      <c r="J44" s="8">
        <f>+IF(M44&gt;2.5,-1,+IF(M44&lt;1,-1,0))</f>
        <v>-1</v>
      </c>
      <c r="K44" t="s">
        <v>2</v>
      </c>
      <c r="M44" s="15">
        <f>_xll.BDP("FRcpiyoy INDEX","PX LAST")</f>
        <v>4.5</v>
      </c>
      <c r="N44" s="7" t="str">
        <f>IF(ISNUMBER(_xll.BDP("FRcpiyoy index","CHG neT 5d")),_xll.BDP("FRcpiyoy index","CHG neT 5d"),"na")</f>
        <v>na</v>
      </c>
      <c r="O44" s="7">
        <f>IF(ISNUMBER(_xll.BDP("FRcpiyoy index","CHG neT 1m")),_xll.BDP("FRcpiyoy index","CHG neT 1m"),"na")</f>
        <v>0.9</v>
      </c>
      <c r="P44" s="7">
        <f>IF(ISNUMBER(_xll.BDP("FRcpiyoy index","CHG neT 1yr")),_xll.BDP("FRcpiyoy index","CHG neT 1yr"),"na")</f>
        <v>3.4</v>
      </c>
      <c r="Q44" s="7"/>
      <c r="T44" s="11"/>
      <c r="V44" s="11"/>
      <c r="W44" s="15"/>
      <c r="X44" s="11"/>
      <c r="AE44" s="3">
        <v>44554</v>
      </c>
      <c r="AF44">
        <v>2.4750000000000001</v>
      </c>
      <c r="AH44" s="3">
        <v>44554</v>
      </c>
      <c r="AI44">
        <v>2.8210000000000002</v>
      </c>
    </row>
    <row r="45" spans="1:35" x14ac:dyDescent="0.25">
      <c r="A45" s="8">
        <f>+IF(D45&gt;2.5,1,+IF(D45&lt;0.5,-1,0))</f>
        <v>1</v>
      </c>
      <c r="B45" t="s">
        <v>120</v>
      </c>
      <c r="D45" s="15">
        <f>_xll.BDP("UKGRABIy INDEX","PX LAST")</f>
        <v>6.6</v>
      </c>
      <c r="E45" s="7" t="str">
        <f>IF(ISNUMBER(_xll.BDP("UKGRABIQ index","CHG neT 5d")),_xll.BDP("UKGRABIQ index","CHG neT 5d"),"na")</f>
        <v>na</v>
      </c>
      <c r="F45" s="7" t="str">
        <f>IF(ISNUMBER(_xll.BDP("UKGRABIQ index","CHG neT 1m")),_xll.BDP("UKGRABIQ index","CHG neT 1m"),"na")</f>
        <v>na</v>
      </c>
      <c r="G45" s="7">
        <f>IF(ISNUMBER(_xll.BDP("UKGRABIQ index","CHG neT 1yr")),_xll.BDP("UKGRABIQ index","CHG neT 1yr"),"na")</f>
        <v>-0.2</v>
      </c>
      <c r="H45" s="7"/>
      <c r="J45" s="8">
        <f>+IF(M45&gt;2.5,1,+IF(M45&lt;0.5,-1,0))</f>
        <v>1</v>
      </c>
      <c r="K45" t="s">
        <v>120</v>
      </c>
      <c r="M45" s="15">
        <f>_xll.BDP("FRgegdpyoy index","px last")</f>
        <v>5.4</v>
      </c>
      <c r="N45" s="7" t="str">
        <f>IF(ISNUMBER(_xll.BDP("FRgdpyoy index","CHG neT 5d")),_xll.BDP("FRgdpyoy index","CHG neT 5d"),"na")</f>
        <v>na</v>
      </c>
      <c r="O45" s="7" t="str">
        <f>IF(ISNUMBER(_xll.BDP("FRgdpyoy index","CHG neT 1m")),_xll.BDP("FRgdpyoy index","CHG neT 1m"),"na")</f>
        <v>na</v>
      </c>
      <c r="P45" s="7">
        <f>IF(ISNUMBER(_xll.BDP("FRgdpyoy index","CHG neT 1yr")),_xll.BDP("FRgdpyoy index","CHG neT 1yr"),"na")</f>
        <v>-1.2</v>
      </c>
      <c r="Q45" s="7"/>
      <c r="S45" s="8"/>
      <c r="T45" s="11"/>
      <c r="V45" s="11"/>
      <c r="W45" s="15"/>
      <c r="X45" s="11"/>
      <c r="AE45" s="3">
        <v>44547</v>
      </c>
      <c r="AF45">
        <v>2.4630000000000001</v>
      </c>
      <c r="AH45" s="3">
        <v>44547</v>
      </c>
      <c r="AI45">
        <v>2.8919999999999999</v>
      </c>
    </row>
    <row r="46" spans="1:35" x14ac:dyDescent="0.25">
      <c r="A46" s="8">
        <f>+IF(D46&gt;0,1,+IF(D46&lt;-3,-1,0))</f>
        <v>-1</v>
      </c>
      <c r="B46" t="s">
        <v>127</v>
      </c>
      <c r="D46" s="16">
        <f>_xll.BDP("ehbbgb INDEX","PX LAST")</f>
        <v>-7.63</v>
      </c>
      <c r="E46" s="7" t="str">
        <f>IF(ISNUMBER(_xll.BDP("ehbbgb index","CHG neT 5d")),_xll.BDP("ehbbgb index","CHG neT 5d"),"na")</f>
        <v>na</v>
      </c>
      <c r="F46" s="7" t="str">
        <f>IF(ISNUMBER(_xll.BDP("ehbbgb index","CHG neT 1m")),_xll.BDP("ehbbgb index","CHG neT 1m"),"na")</f>
        <v>na</v>
      </c>
      <c r="G46" s="7">
        <f>IF(ISNUMBER(_xll.BDP("ehbbgb index","CHG neT 1yr")),_xll.BDP("ehbbgb index","CHG neT 1yr"),"na")</f>
        <v>4.93</v>
      </c>
      <c r="H46" s="7"/>
      <c r="J46" s="8">
        <f>+IF(M46&gt;0,1,+IF(M46&lt;-3,-1,0))</f>
        <v>-1</v>
      </c>
      <c r="K46" t="s">
        <v>127</v>
      </c>
      <c r="M46" s="16">
        <f>_xll.BDP("EUbdFR index","px last")</f>
        <v>-6.5</v>
      </c>
      <c r="N46" s="7" t="str">
        <f>IF(ISNUMBER(_xll.BDP("EUbdFR index","CHG neT 5d")),_xll.BDP("EUbdFR index","CHG neT 5d"),"na")</f>
        <v>na</v>
      </c>
      <c r="O46" s="7" t="str">
        <f>IF(ISNUMBER(_xll.BDP("EUbdFR index","CHG neT 1m")),_xll.BDP("EUbdFR index","CHG neT 1m"),"na")</f>
        <v>na</v>
      </c>
      <c r="P46" s="7">
        <f>IF(ISNUMBER(_xll.BDP("EUbdFR index","CHG neT 1yr")),_xll.BDP("EUbdFR index","CHG neT 1yr"),"na")</f>
        <v>2.4</v>
      </c>
      <c r="Q46" s="7"/>
      <c r="S46" s="9"/>
      <c r="T46" s="11"/>
      <c r="V46" s="11"/>
      <c r="W46" s="15"/>
      <c r="X46" s="11"/>
      <c r="AE46" s="3">
        <v>44540</v>
      </c>
      <c r="AF46">
        <v>2.4980000000000002</v>
      </c>
      <c r="AH46" s="3">
        <v>44540</v>
      </c>
      <c r="AI46">
        <v>2.8719999999999999</v>
      </c>
    </row>
    <row r="47" spans="1:35" x14ac:dyDescent="0.25">
      <c r="A47" s="8">
        <f>+IF(D47&gt;0,1,+IF(D47&lt;-3,-1,0))</f>
        <v>0</v>
      </c>
      <c r="B47" t="s">
        <v>119</v>
      </c>
      <c r="D47" s="16">
        <f>_xll.BDP("ehcagb INDEX","PX LAST")</f>
        <v>-2.59</v>
      </c>
      <c r="E47" s="7" t="str">
        <f>IF(ISNUMBER(_xll.BDP("ehcagb index","CHG neT 5d")),_xll.BDP("ehcagb index","CHG neT 5d"),"na")</f>
        <v>na</v>
      </c>
      <c r="F47" s="7" t="str">
        <f>IF(ISNUMBER(_xll.BDP("ehcagb index","CHG neT 1m")),_xll.BDP("ehcagb index","CHG neT 1m"),"na")</f>
        <v>na</v>
      </c>
      <c r="G47" s="7">
        <f>IF(ISNUMBER(_xll.BDP("ehcagb index","CHG neT 1yr")),_xll.BDP("ehcagb index","CHG neT 1yr"),"na")</f>
        <v>-0.09</v>
      </c>
      <c r="H47" s="7"/>
      <c r="J47" s="8">
        <f>+IF(M47&gt;0,1,+IF(M47&lt;-3,-1,0))</f>
        <v>0</v>
      </c>
      <c r="K47" t="s">
        <v>119</v>
      </c>
      <c r="M47" s="15">
        <f>_xll.BDP("ehcaFR INDEX","PX LAST")</f>
        <v>-0.76</v>
      </c>
      <c r="N47" s="7" t="str">
        <f>IF(ISNUMBER(_xll.BDP("ehcaFR index","CHG neT 5d")),_xll.BDP("ehcaFR index","CHG neT 5d"),"na")</f>
        <v>na</v>
      </c>
      <c r="O47" s="7" t="str">
        <f>IF(ISNUMBER(_xll.BDP("ehcaFR index","CHG neT 1m")),_xll.BDP("ehcaFR index","CHG neT 1m"),"na")</f>
        <v>na</v>
      </c>
      <c r="P47" s="7">
        <f>IF(ISNUMBER(_xll.BDP("ehcaFR index","CHG neT 1yr")),_xll.BDP("ehcaFR index","CHG neT 1yr"),"na")</f>
        <v>1.1599999999999999</v>
      </c>
      <c r="Q47" s="7"/>
      <c r="T47" s="11"/>
      <c r="V47" s="11"/>
      <c r="W47" s="15"/>
      <c r="X47" s="11"/>
      <c r="AE47" s="3">
        <v>44533</v>
      </c>
      <c r="AF47">
        <v>2.5019999999999998</v>
      </c>
      <c r="AH47" s="3">
        <v>44533</v>
      </c>
      <c r="AI47">
        <v>2.8969999999999998</v>
      </c>
    </row>
    <row r="48" spans="1:35" x14ac:dyDescent="0.25">
      <c r="A48" s="8">
        <f>+IF(D48&gt;4.5,-1,0)</f>
        <v>0</v>
      </c>
      <c r="B48" t="s">
        <v>145</v>
      </c>
      <c r="C48" t="s">
        <v>116</v>
      </c>
      <c r="D48" s="16">
        <f>_xll.BDP(C48,"px last")</f>
        <v>4.13</v>
      </c>
      <c r="E48" s="7">
        <f>IF(ISNUMBER(_xll.BDP(C48,"CHG neT 5d")),_xll.BDP(C48,"CHG neT 5d"),0)</f>
        <v>0</v>
      </c>
      <c r="F48" s="7">
        <f>IF(ISNUMBER(_xll.BDP(C48,"CHG neT 1m")),_xll.BDP(C48,"CHG neT 1m"),0)</f>
        <v>0</v>
      </c>
      <c r="G48" s="7">
        <f>IF(ISNUMBER(_xll.BDP(C48,"CHG neT 1yr")),_xll.BDP(C48,"CHG neT 1yr"),0)</f>
        <v>-0.97</v>
      </c>
      <c r="H48" s="7"/>
      <c r="J48" s="8">
        <f>+IF(M48&gt;4.5,-1,0)</f>
        <v>-1</v>
      </c>
      <c r="K48" t="s">
        <v>145</v>
      </c>
      <c r="L48" t="s">
        <v>148</v>
      </c>
      <c r="M48" s="16">
        <f>_xll.BDP(L48,"px last")</f>
        <v>7.47</v>
      </c>
      <c r="N48" s="7">
        <f>IF(ISNUMBER(_xll.BDP(L48,"CHG neT 5d")),_xll.BDP(L48,"CHG neT 5d"),0)</f>
        <v>0</v>
      </c>
      <c r="O48" s="7">
        <f>IF(ISNUMBER(_xll.BDP(L48,"CHG neT 1m")),_xll.BDP(L48,"CHG neT 1m"),0)</f>
        <v>0</v>
      </c>
      <c r="P48" s="7">
        <f>IF(ISNUMBER(_xll.BDP(L48,"CHG neT 1yr")),_xll.BDP(L48,"CHG neT 1yr"),0)</f>
        <v>-0.63</v>
      </c>
      <c r="Q48" s="7"/>
      <c r="T48" s="11"/>
      <c r="V48" s="11"/>
      <c r="W48" s="15"/>
      <c r="X48" s="11"/>
      <c r="AE48" s="3">
        <v>44526</v>
      </c>
      <c r="AF48">
        <v>2.4609999999999999</v>
      </c>
      <c r="AH48" s="3">
        <v>44526</v>
      </c>
      <c r="AI48">
        <v>2.85</v>
      </c>
    </row>
    <row r="49" spans="1:35" x14ac:dyDescent="0.25">
      <c r="A49" s="8" t="str">
        <f>+IF(D50&gt;A50+1,"$ tight",+IF(D50&lt;A50-1,"$ loose","$ ok"))</f>
        <v>$ ok</v>
      </c>
      <c r="B49" t="s">
        <v>92</v>
      </c>
      <c r="D49" s="7">
        <f>_xll.BDP("UKGTB3M INDEX","PX LAST")</f>
        <v>0.69899999999999995</v>
      </c>
      <c r="E49" s="7">
        <f>IF(ISNUMBER(_xll.BDP("UKGTB3M index","CHG neT 5d")),_xll.BDP("Jysoc index","CHG neT 5d"),"na")</f>
        <v>1.1100000000000001E-3</v>
      </c>
      <c r="F49" s="7">
        <f>IF(ISNUMBER(_xll.BDP("UKGTB3M index","CHG neT 1m")),_xll.BDP("UKGTB3M index","CHG neT 1m"),"na")</f>
        <v>0.16500000000000001</v>
      </c>
      <c r="G49" s="7">
        <f>IF(ISNUMBER(_xll.BDP("UKGTB3M index","CHG neT 1yr")),_xll.BDP("UKGTB3M index","CHG neT 1yr"),"na")</f>
        <v>0.66400000000000003</v>
      </c>
      <c r="H49" s="7">
        <f t="shared" ref="H49:H54" si="8">+IF(AND(E49&gt;0,F49&gt;0,G49&gt;0),1,0)+IF(AND(E49&lt;0,F49&lt;0,G49&lt;0),-1,0)</f>
        <v>1</v>
      </c>
      <c r="J49" s="8" t="str">
        <f>+IF(M50&gt;J50+1,"$ tight",+IF(M50&lt;J50-1,"$ loose","$ ok"))</f>
        <v>$ ok</v>
      </c>
      <c r="K49" t="s">
        <v>92</v>
      </c>
      <c r="M49" s="7">
        <f>_xll.BDP("gtfrf3m govt","yld ytm mid")</f>
        <v>-0.65123239622744789</v>
      </c>
      <c r="N49" s="7" t="s">
        <v>128</v>
      </c>
      <c r="O49" s="7" t="s">
        <v>128</v>
      </c>
      <c r="P49" s="7" t="s">
        <v>128</v>
      </c>
      <c r="Q49" s="7">
        <f t="shared" ref="Q49:Q54" si="9">+IF(AND(N49&gt;0,O49&gt;0,P49&gt;0),1,0)+IF(AND(N49&lt;0,O49&lt;0,P49&lt;0),-1,0)</f>
        <v>1</v>
      </c>
      <c r="T49" s="11"/>
      <c r="V49" s="11"/>
      <c r="W49" s="15"/>
      <c r="X49" s="11"/>
      <c r="AE49" s="3">
        <v>44519</v>
      </c>
      <c r="AF49">
        <v>2.5070000000000001</v>
      </c>
      <c r="AH49" s="3">
        <v>44519</v>
      </c>
      <c r="AI49">
        <v>2.9239999999999999</v>
      </c>
    </row>
    <row r="50" spans="1:35" x14ac:dyDescent="0.25">
      <c r="A50" s="12">
        <f>+rates!G18</f>
        <v>0.99906729428173091</v>
      </c>
      <c r="B50" t="s">
        <v>93</v>
      </c>
      <c r="D50" s="7">
        <f>_xll.BDP("bp0003m INDEX","px last")</f>
        <v>1.1537999999999999</v>
      </c>
      <c r="E50" s="7">
        <f>IF(ISNUMBER(_xll.BDP("bp0003m index","CHG neT 5d")),_xll.BDP("bp0003m index","CHG neT 5d"),"na")</f>
        <v>4.2999999999999997E-2</v>
      </c>
      <c r="F50" s="7">
        <f>IF(ISNUMBER(_xll.BDP("bp0003m index","CHG neT 1m")),_xll.BDP("bp0003m index","CHG neT 1m"),"na")</f>
        <v>0.18390000000000001</v>
      </c>
      <c r="G50" s="7">
        <f>IF(ISNUMBER(_xll.BDP("bp0003m index","CHG neT 1yr")),_xll.BDP("bp0003m index","CHG neT 1yr"),"na")</f>
        <v>1.06755</v>
      </c>
      <c r="H50" s="7">
        <f t="shared" si="8"/>
        <v>1</v>
      </c>
      <c r="J50" s="12">
        <f>+rates!P18</f>
        <v>0</v>
      </c>
      <c r="K50" t="s">
        <v>129</v>
      </c>
      <c r="M50" s="7">
        <f>_xll.BDP("EU0003m INDEX","px last")</f>
        <v>6.2140000000000001E-2</v>
      </c>
      <c r="N50" s="7">
        <f>IF(ISNUMBER(_xll.BDP("eu0003m index","CHG neT 5d")),_xll.BDP("eu0003m index","CHG neT 5d"),"na")</f>
        <v>0</v>
      </c>
      <c r="O50" s="7">
        <f>IF(ISNUMBER(_xll.BDP("eu0003m index","CHG neT 1m")),_xll.BDP("eu0003m index","CHG neT 1m"),"na")</f>
        <v>-2.15E-3</v>
      </c>
      <c r="P50" s="7">
        <f>IF(ISNUMBER(_xll.BDP("eu0003m index","CHG neT 1yr")),_xll.BDP("eu0003m index","CHG neT 1yr"),"na")</f>
        <v>-0.12856999999999999</v>
      </c>
      <c r="Q50" s="7">
        <f t="shared" si="9"/>
        <v>0</v>
      </c>
      <c r="T50" s="11"/>
      <c r="V50" s="11"/>
      <c r="W50" s="15"/>
      <c r="X50" s="11"/>
      <c r="AE50" s="3">
        <v>44512</v>
      </c>
      <c r="AF50">
        <v>2.4609999999999999</v>
      </c>
      <c r="AH50" s="3">
        <v>44512</v>
      </c>
      <c r="AI50">
        <v>2.9329999999999998</v>
      </c>
    </row>
    <row r="51" spans="1:35" x14ac:dyDescent="0.25">
      <c r="A51" t="str">
        <f>+IF(E51&gt;E52,IF(ABS(E51)&gt;ABS(E52),"out","eqty"),IF(ABS(E51)&gt;ABS(E52),"eqty+bnds","gold"))</f>
        <v>out</v>
      </c>
      <c r="B51" t="s">
        <v>103</v>
      </c>
      <c r="D51" s="7">
        <f ca="1">_xll.BDP("gtgbp2y govt","bid yield")</f>
        <v>1.7766789999999999</v>
      </c>
      <c r="E51" s="7">
        <f>_xll.BDP("GUKG2 index","CHG neT 5d")</f>
        <v>0.21299999999999999</v>
      </c>
      <c r="F51" s="7">
        <f>_xll.BDP("GUKG2 index","CHG neT 1m")</f>
        <v>0.35899999999999999</v>
      </c>
      <c r="G51" s="7">
        <f>IF(ISNUMBER(_xll.BDP("GUKG2 index","CHG neT 1yr")),_xll.BDP("GUKG2 index","CHG neT 1yr"),"na")</f>
        <v>1.7309999999999999</v>
      </c>
      <c r="H51" s="7">
        <f t="shared" si="8"/>
        <v>1</v>
      </c>
      <c r="J51" t="str">
        <f>+IF(IF(ABS(N51)&gt;ABS(N52),IF(N51&gt;0,1,2),IF(N52&gt;0,3,4))=1,"cash",IF(IF(ABS(N51)&gt;ABS(N52),IF(N51&gt;0,1,2),IF(N52&gt;0,3,4))=2,"gold",IF(IF(ABS(N51)&gt;ABS(N52),IF(N51&gt;0,1,2),IF(N52&gt;0,3,4))=3,"eqty",IF(IF(ABS(N51)&gt;ABS(N52),IF(N51&gt;0,1,2),IF(N52&gt;0,3,4))=4,"bnds",1))))</f>
        <v>cash</v>
      </c>
      <c r="K51" t="s">
        <v>142</v>
      </c>
      <c r="M51" s="7">
        <f ca="1">_xll.BDP("gtfrf2y govt","bid yield")</f>
        <v>0.27980300000000002</v>
      </c>
      <c r="N51" s="7">
        <f>_xll.BDP("gtfrf2yr Govt","yld CHG neT 5d")</f>
        <v>17.230663548137002</v>
      </c>
      <c r="O51" s="7">
        <f>_xll.BDP("gtfrf2yr Govt","yld CHG neT 1m")</f>
        <v>45.252278548137006</v>
      </c>
      <c r="P51" s="7">
        <f>_xll.BDP("gtfrf2yr Govt","yld CHG neT 1y")</f>
        <v>90.478568548137005</v>
      </c>
      <c r="Q51" s="7">
        <f t="shared" si="9"/>
        <v>1</v>
      </c>
      <c r="AE51" s="3">
        <v>44505</v>
      </c>
      <c r="AF51">
        <v>2.4340000000000002</v>
      </c>
      <c r="AH51" s="3">
        <v>44505</v>
      </c>
      <c r="AI51">
        <v>2.8860000000000001</v>
      </c>
    </row>
    <row r="52" spans="1:35" x14ac:dyDescent="0.25">
      <c r="A52" t="str">
        <f>+IF(F51&gt;F52,IF(ABS(F51)&gt;ABS(F52),"out","eqty"),IF(ABS(F51)&gt;ABS(F52),"eqty+bnds","gold"))</f>
        <v>out</v>
      </c>
      <c r="B52" t="s">
        <v>104</v>
      </c>
      <c r="D52" s="7">
        <f ca="1">_xll.BDP("gtgbp10y govt","bid yield")</f>
        <v>1.9979309999999999</v>
      </c>
      <c r="E52" s="7">
        <f>_xll.BDP("GUKG10 index","CHG neT 5d")</f>
        <v>0.108</v>
      </c>
      <c r="F52" s="7">
        <f>_xll.BDP("GUKG10 index","CHG neT 1m")</f>
        <v>0.28899999999999998</v>
      </c>
      <c r="G52" s="10">
        <f>IF(ISNUMBER(_xll.BDP("GUKG10 index","CHG neT 1yr")),_xll.BDP("GUKG10 index","CHG neT 1yr"),"na")</f>
        <v>1.2570000000000001</v>
      </c>
      <c r="H52" s="7">
        <f t="shared" si="8"/>
        <v>1</v>
      </c>
      <c r="J52" t="str">
        <f>+IF(IF(ABS(O51)&gt;ABS(O52),IF(O51&gt;0,1,2),IF(O52&gt;0,3,4))=1,"cash",IF(IF(ABS(O51)&gt;ABS(O52),IF(O51&gt;0,1,2),IF(O52&gt;0,3,4))=2,"gold",IF(IF(ABS(O51)&gt;ABS(O52),IF(O51&gt;0,1,2),IF(O52&gt;0,3,4))=3,"eqty",IF(IF(ABS(O51)&gt;ABS(O52),IF(O51&gt;0,1,2),IF(O52&gt;0,3,4))=4,"bnds",1))))</f>
        <v>cash</v>
      </c>
      <c r="K52" t="s">
        <v>143</v>
      </c>
      <c r="M52" s="7">
        <f ca="1">_xll.BDP("gtfrf10y govt","bid yield")</f>
        <v>1.406253</v>
      </c>
      <c r="N52" s="7">
        <f>_xll.BDP("gtfrf10yr Govt","yld CHG neT 5d")</f>
        <v>6.3448921472342823</v>
      </c>
      <c r="O52" s="7">
        <f>_xll.BDP("gtfrf10yr Govt","yld CHG neT 1m")</f>
        <v>43.56831214723428</v>
      </c>
      <c r="P52" s="10">
        <f>_xll.BDP("gtfrf10yr Govt","yld CHG neT 1y")</f>
        <v>131.12856114723428</v>
      </c>
      <c r="Q52" s="7">
        <f t="shared" si="9"/>
        <v>1</v>
      </c>
      <c r="AE52" s="3">
        <v>44498</v>
      </c>
      <c r="AF52">
        <v>2.488</v>
      </c>
      <c r="AH52" s="3">
        <v>44498</v>
      </c>
      <c r="AI52">
        <v>2.968</v>
      </c>
    </row>
    <row r="53" spans="1:35" x14ac:dyDescent="0.25">
      <c r="B53" t="s">
        <v>125</v>
      </c>
      <c r="D53" s="7">
        <f>_xll.BDP("TWI BPSP curncy", "px last")</f>
        <v>75.59</v>
      </c>
      <c r="E53" s="7">
        <f>_xll.BDP("TWI BPSP curncy","CHG PCT 5d")</f>
        <v>-1.1499999999999999</v>
      </c>
      <c r="F53" s="7">
        <f>_xll.BDP("TWI BPSP curncy", "CHG PCT 1M")</f>
        <v>-1.06</v>
      </c>
      <c r="G53" s="10">
        <f>_xll.BDP("TWI BPSP curncy", "CHG PCT 1yr")</f>
        <v>1.2</v>
      </c>
      <c r="H53" s="7">
        <f t="shared" si="8"/>
        <v>0</v>
      </c>
      <c r="K53" t="s">
        <v>123</v>
      </c>
      <c r="M53" s="7">
        <f>_xll.BDP("CEEREU curncy", "px last")</f>
        <v>94.492400000000004</v>
      </c>
      <c r="N53" s="7">
        <f>_xll.BDP("CEEREU curncy","CHG PCT 5d")</f>
        <v>0.68479999999999996</v>
      </c>
      <c r="O53" s="7">
        <f>_xll.BDP("CEEREU curncy", "CHG PCT 1M")</f>
        <v>1.3452999999999999</v>
      </c>
      <c r="P53" s="10">
        <f>_xll.BDP("CEEREU curncy", "CHG PCT 1yr")</f>
        <v>2.2827000000000002</v>
      </c>
      <c r="Q53" s="7">
        <f t="shared" si="9"/>
        <v>1</v>
      </c>
      <c r="AE53" s="3">
        <v>44491</v>
      </c>
      <c r="AF53">
        <v>2.5270000000000001</v>
      </c>
      <c r="AH53" s="3">
        <v>44491</v>
      </c>
      <c r="AI53">
        <v>2.9910000000000001</v>
      </c>
    </row>
    <row r="54" spans="1:35" x14ac:dyDescent="0.25">
      <c r="B54" t="s">
        <v>10</v>
      </c>
      <c r="D54" s="15">
        <f>_xll.BDP(B54&amp;" index","best pe ratio")</f>
        <v>10.972648778770729</v>
      </c>
      <c r="E54" s="7">
        <f>_xll.BDP(B54&amp;" INDEX","CHG PCT 5d")</f>
        <v>-0.24218819999999999</v>
      </c>
      <c r="F54" s="7">
        <f>_xll.BDP(B54&amp;" INDEX","CHG PCT 1M")</f>
        <v>1.146488</v>
      </c>
      <c r="G54" s="10">
        <f>_xll.BDP(B54&amp;" INDEX","CHG PCT 1YR")</f>
        <v>8.9965130000000002</v>
      </c>
      <c r="H54" s="7">
        <f t="shared" si="8"/>
        <v>0</v>
      </c>
      <c r="K54" t="s">
        <v>144</v>
      </c>
      <c r="M54" s="15">
        <f>_xll.BDP(K54&amp;" index","best pe ratio")</f>
        <v>12.3937123808332</v>
      </c>
      <c r="N54" s="7">
        <f>_xll.BDP(K54&amp;" INDEX","CHG PCT 5d")</f>
        <v>0.83550429999999998</v>
      </c>
      <c r="O54" s="7">
        <f>_xll.BDP(K54&amp;" INDEX","CHG PCT 1M")</f>
        <v>-0.94017859999999998</v>
      </c>
      <c r="P54" s="10">
        <f>_xll.BDP(K54&amp;" INDEX","CHG PCT 1YR")</f>
        <v>5.257784</v>
      </c>
      <c r="Q54" s="7">
        <f t="shared" si="9"/>
        <v>0</v>
      </c>
      <c r="V54" s="6"/>
      <c r="AE54" s="3">
        <v>44484</v>
      </c>
      <c r="AF54">
        <v>2.5179999999999998</v>
      </c>
      <c r="AH54" s="3">
        <v>44484</v>
      </c>
      <c r="AI54">
        <v>2.9849999999999999</v>
      </c>
    </row>
    <row r="55" spans="1:35" x14ac:dyDescent="0.25">
      <c r="C55" s="22"/>
      <c r="D55" s="39">
        <f ca="1">+D52-D44</f>
        <v>-7.0020690000000005</v>
      </c>
      <c r="M55" s="39">
        <f ca="1">+M52-M44</f>
        <v>-3.093747</v>
      </c>
      <c r="V55" s="15"/>
      <c r="AE55" s="3">
        <v>44477</v>
      </c>
      <c r="AF55">
        <v>2.4830000000000001</v>
      </c>
      <c r="AH55" s="3">
        <v>44477</v>
      </c>
      <c r="AI55">
        <v>2.9009999999999998</v>
      </c>
    </row>
    <row r="56" spans="1:35" x14ac:dyDescent="0.25">
      <c r="AE56" s="3">
        <v>44470</v>
      </c>
      <c r="AF56">
        <v>2.4729999999999999</v>
      </c>
      <c r="AH56" s="3">
        <v>44470</v>
      </c>
      <c r="AI56">
        <v>2.8730000000000002</v>
      </c>
    </row>
    <row r="57" spans="1:35" x14ac:dyDescent="0.25">
      <c r="AE57" s="3">
        <v>44463</v>
      </c>
      <c r="AF57">
        <v>2.4750000000000001</v>
      </c>
      <c r="AH57" s="3">
        <v>44463</v>
      </c>
      <c r="AI57">
        <v>2.867</v>
      </c>
    </row>
    <row r="58" spans="1:35" x14ac:dyDescent="0.25">
      <c r="AE58" s="3">
        <v>44456</v>
      </c>
      <c r="AF58">
        <v>2.4990000000000001</v>
      </c>
      <c r="AH58" s="3">
        <v>44456</v>
      </c>
      <c r="AI58">
        <v>2.8769999999999998</v>
      </c>
    </row>
    <row r="59" spans="1:35" x14ac:dyDescent="0.25">
      <c r="AE59" s="3">
        <v>44449</v>
      </c>
      <c r="AF59">
        <v>2.4870000000000001</v>
      </c>
      <c r="AH59" s="3">
        <v>44449</v>
      </c>
      <c r="AI59">
        <v>2.867</v>
      </c>
    </row>
    <row r="60" spans="1:35" x14ac:dyDescent="0.25">
      <c r="AE60" s="3">
        <v>44442</v>
      </c>
      <c r="AF60">
        <v>2.4510000000000001</v>
      </c>
      <c r="AH60" s="3">
        <v>44442</v>
      </c>
      <c r="AI60">
        <v>2.83</v>
      </c>
    </row>
    <row r="61" spans="1:35" x14ac:dyDescent="0.25">
      <c r="AE61" s="3">
        <v>44435</v>
      </c>
      <c r="AF61">
        <v>2.4740000000000002</v>
      </c>
      <c r="AH61" s="3">
        <v>44435</v>
      </c>
      <c r="AI61">
        <v>2.871</v>
      </c>
    </row>
    <row r="62" spans="1:35" x14ac:dyDescent="0.25">
      <c r="AE62" s="3">
        <v>44428</v>
      </c>
      <c r="AF62">
        <v>2.4569999999999999</v>
      </c>
      <c r="AH62" s="3">
        <v>44428</v>
      </c>
      <c r="AI62">
        <v>2.8460000000000001</v>
      </c>
    </row>
    <row r="63" spans="1:35" x14ac:dyDescent="0.25">
      <c r="AE63" s="3">
        <v>44421</v>
      </c>
      <c r="AF63">
        <v>2.4889999999999999</v>
      </c>
      <c r="AH63" s="3">
        <v>44421</v>
      </c>
      <c r="AI63">
        <v>2.8849999999999998</v>
      </c>
    </row>
    <row r="64" spans="1:35" x14ac:dyDescent="0.25">
      <c r="AE64" s="3">
        <v>44414</v>
      </c>
      <c r="AF64">
        <v>2.411</v>
      </c>
      <c r="AH64" s="3">
        <v>44414</v>
      </c>
      <c r="AI64">
        <v>2.8109999999999999</v>
      </c>
    </row>
    <row r="65" spans="1:35" x14ac:dyDescent="0.25">
      <c r="AE65" s="3">
        <v>44407</v>
      </c>
      <c r="AF65">
        <v>2.423</v>
      </c>
      <c r="AH65" s="3">
        <v>44407</v>
      </c>
      <c r="AI65">
        <v>2.85</v>
      </c>
    </row>
    <row r="66" spans="1:35" x14ac:dyDescent="0.25">
      <c r="AE66" s="3">
        <v>44400</v>
      </c>
      <c r="AF66">
        <v>2.4319999999999999</v>
      </c>
      <c r="AH66" s="3">
        <v>44400</v>
      </c>
      <c r="AI66">
        <v>2.9079999999999999</v>
      </c>
    </row>
    <row r="67" spans="1:35" x14ac:dyDescent="0.25">
      <c r="AE67" s="3">
        <v>44393</v>
      </c>
      <c r="AF67">
        <v>2.5030000000000001</v>
      </c>
      <c r="AH67" s="3">
        <v>44393</v>
      </c>
      <c r="AI67">
        <v>2.944</v>
      </c>
    </row>
    <row r="68" spans="1:35" x14ac:dyDescent="0.25">
      <c r="AE68" s="3">
        <v>44386</v>
      </c>
      <c r="AF68">
        <v>2.5539999999999998</v>
      </c>
      <c r="AH68" s="3">
        <v>44386</v>
      </c>
      <c r="AI68">
        <v>2.992</v>
      </c>
    </row>
    <row r="69" spans="1:35" x14ac:dyDescent="0.25">
      <c r="AE69" s="3">
        <v>44379</v>
      </c>
      <c r="AF69">
        <v>2.6280000000000001</v>
      </c>
      <c r="AH69" s="3">
        <v>44379</v>
      </c>
      <c r="AI69">
        <v>3.0790000000000002</v>
      </c>
    </row>
    <row r="70" spans="1:35" x14ac:dyDescent="0.25">
      <c r="AE70" s="3">
        <v>44372</v>
      </c>
      <c r="AF70">
        <v>2.653</v>
      </c>
      <c r="AH70" s="3">
        <v>44372</v>
      </c>
      <c r="AI70">
        <v>3.0910000000000002</v>
      </c>
    </row>
    <row r="71" spans="1:35" x14ac:dyDescent="0.25">
      <c r="B71" t="s">
        <v>0</v>
      </c>
      <c r="E71" s="3">
        <v>43062</v>
      </c>
      <c r="N71" s="3"/>
      <c r="W71" s="3"/>
      <c r="AE71" s="3">
        <v>44365</v>
      </c>
      <c r="AF71">
        <v>2.73</v>
      </c>
      <c r="AH71" s="3">
        <v>44365</v>
      </c>
      <c r="AI71">
        <v>3.145</v>
      </c>
    </row>
    <row r="72" spans="1:35" x14ac:dyDescent="0.25">
      <c r="AE72" s="3">
        <v>44358</v>
      </c>
      <c r="AF72">
        <v>2.64</v>
      </c>
      <c r="AH72" s="3">
        <v>44358</v>
      </c>
      <c r="AI72">
        <v>3.1459999999999999</v>
      </c>
    </row>
    <row r="73" spans="1:35" x14ac:dyDescent="0.25">
      <c r="A73" s="19" t="s">
        <v>1</v>
      </c>
      <c r="B73" s="13">
        <v>-1</v>
      </c>
      <c r="C73" s="1"/>
      <c r="D73" s="1"/>
      <c r="E73" s="2" t="s">
        <v>96</v>
      </c>
      <c r="F73" s="2" t="s">
        <v>97</v>
      </c>
      <c r="G73" s="2" t="s">
        <v>98</v>
      </c>
      <c r="H73" s="11"/>
      <c r="J73" s="19" t="s">
        <v>20</v>
      </c>
      <c r="K73" s="13">
        <v>0</v>
      </c>
      <c r="L73" s="1"/>
      <c r="M73" s="1"/>
      <c r="N73" s="2" t="s">
        <v>96</v>
      </c>
      <c r="O73" s="2" t="s">
        <v>97</v>
      </c>
      <c r="P73" s="2" t="s">
        <v>98</v>
      </c>
      <c r="Q73" s="11"/>
      <c r="S73" s="19" t="s">
        <v>140</v>
      </c>
      <c r="T73" s="13">
        <v>1</v>
      </c>
      <c r="U73" s="1"/>
      <c r="V73" s="1"/>
      <c r="W73" s="2" t="s">
        <v>96</v>
      </c>
      <c r="X73" s="2" t="s">
        <v>97</v>
      </c>
      <c r="Y73" s="2" t="s">
        <v>98</v>
      </c>
      <c r="Z73" s="11"/>
      <c r="AE73" s="3">
        <v>44351</v>
      </c>
      <c r="AF73">
        <v>2.589</v>
      </c>
      <c r="AH73" s="3">
        <v>44351</v>
      </c>
      <c r="AI73">
        <v>3.121</v>
      </c>
    </row>
    <row r="74" spans="1:35" x14ac:dyDescent="0.25">
      <c r="A74" s="8">
        <v>0</v>
      </c>
      <c r="B74" t="s">
        <v>2</v>
      </c>
      <c r="D74" s="15">
        <v>1.8</v>
      </c>
      <c r="E74" s="11" t="s">
        <v>128</v>
      </c>
      <c r="F74" s="11" t="s">
        <v>128</v>
      </c>
      <c r="G74" s="7">
        <v>0.6</v>
      </c>
      <c r="H74" s="11"/>
      <c r="J74" s="8">
        <v>0</v>
      </c>
      <c r="K74" t="s">
        <v>2</v>
      </c>
      <c r="M74" s="15">
        <v>1.9</v>
      </c>
      <c r="N74" s="7" t="s">
        <v>128</v>
      </c>
      <c r="O74" s="7">
        <v>0.3</v>
      </c>
      <c r="P74" s="7">
        <v>0.8</v>
      </c>
      <c r="Q74" s="11"/>
      <c r="S74" s="8">
        <v>0</v>
      </c>
      <c r="T74" t="s">
        <v>2</v>
      </c>
      <c r="V74" s="15">
        <v>1.6</v>
      </c>
      <c r="W74" s="7" t="s">
        <v>128</v>
      </c>
      <c r="X74" s="7">
        <v>-0.2</v>
      </c>
      <c r="Y74" s="7">
        <v>0.8</v>
      </c>
      <c r="Z74" s="11"/>
      <c r="AE74" s="3">
        <v>44344</v>
      </c>
      <c r="AF74">
        <v>2.58</v>
      </c>
      <c r="AH74" s="3">
        <v>44344</v>
      </c>
      <c r="AI74">
        <v>3.085</v>
      </c>
    </row>
    <row r="75" spans="1:35" x14ac:dyDescent="0.25">
      <c r="A75" s="8">
        <v>0</v>
      </c>
      <c r="B75" t="s">
        <v>120</v>
      </c>
      <c r="D75" s="15">
        <v>2.2999999999999998</v>
      </c>
      <c r="E75" s="11" t="s">
        <v>128</v>
      </c>
      <c r="F75" s="11" t="s">
        <v>128</v>
      </c>
      <c r="G75" s="7">
        <v>0.2</v>
      </c>
      <c r="H75" s="11"/>
      <c r="J75" s="8">
        <v>0</v>
      </c>
      <c r="K75" t="s">
        <v>120</v>
      </c>
      <c r="M75" s="15">
        <v>2.5</v>
      </c>
      <c r="N75" s="7" t="s">
        <v>128</v>
      </c>
      <c r="O75" s="7" t="s">
        <v>128</v>
      </c>
      <c r="P75" s="7">
        <v>0.7</v>
      </c>
      <c r="Q75" s="11"/>
      <c r="S75" s="8">
        <v>0</v>
      </c>
      <c r="T75" t="s">
        <v>120</v>
      </c>
      <c r="V75" s="15">
        <v>2.2999999999999998</v>
      </c>
      <c r="W75" s="7" t="s">
        <v>128</v>
      </c>
      <c r="X75" s="7" t="s">
        <v>128</v>
      </c>
      <c r="Y75" s="7">
        <v>0.2</v>
      </c>
      <c r="Z75" s="11"/>
      <c r="AE75" s="3">
        <v>44337</v>
      </c>
      <c r="AF75">
        <v>2.5680000000000001</v>
      </c>
      <c r="AH75" s="3">
        <v>44337</v>
      </c>
      <c r="AI75">
        <v>3.069</v>
      </c>
    </row>
    <row r="76" spans="1:35" x14ac:dyDescent="0.25">
      <c r="A76" s="8">
        <v>-1</v>
      </c>
      <c r="B76" t="s">
        <v>127</v>
      </c>
      <c r="D76" s="16">
        <v>-3.4</v>
      </c>
      <c r="E76" s="11" t="s">
        <v>128</v>
      </c>
      <c r="F76" s="11" t="s">
        <v>128</v>
      </c>
      <c r="G76" s="7">
        <v>-0.3</v>
      </c>
      <c r="H76" s="11"/>
      <c r="J76" s="8">
        <v>0</v>
      </c>
      <c r="K76" t="s">
        <v>127</v>
      </c>
      <c r="M76" s="16">
        <v>-2</v>
      </c>
      <c r="N76" s="7" t="s">
        <v>128</v>
      </c>
      <c r="O76" s="7" t="s">
        <v>128</v>
      </c>
      <c r="P76" s="7">
        <v>2.4</v>
      </c>
      <c r="Q76" s="11"/>
      <c r="S76" s="8">
        <v>1</v>
      </c>
      <c r="T76" t="s">
        <v>127</v>
      </c>
      <c r="V76" s="15">
        <v>0.8</v>
      </c>
      <c r="W76" s="7" t="s">
        <v>128</v>
      </c>
      <c r="X76" s="7" t="s">
        <v>128</v>
      </c>
      <c r="Y76" s="7">
        <v>0.2</v>
      </c>
      <c r="Z76" s="11"/>
      <c r="AE76" s="3">
        <v>44330</v>
      </c>
      <c r="AF76">
        <v>2.6030000000000002</v>
      </c>
      <c r="AH76" s="3">
        <v>44330</v>
      </c>
      <c r="AI76">
        <v>3.13</v>
      </c>
    </row>
    <row r="77" spans="1:35" x14ac:dyDescent="0.25">
      <c r="A77" s="8">
        <v>0</v>
      </c>
      <c r="B77" t="s">
        <v>119</v>
      </c>
      <c r="D77" s="15">
        <v>-2.39</v>
      </c>
      <c r="E77" s="11" t="s">
        <v>128</v>
      </c>
      <c r="F77" s="11" t="s">
        <v>128</v>
      </c>
      <c r="G77" s="11">
        <v>0.02</v>
      </c>
      <c r="H77" s="11"/>
      <c r="J77" s="8">
        <v>1</v>
      </c>
      <c r="K77" s="17" t="s">
        <v>119</v>
      </c>
      <c r="L77" s="17"/>
      <c r="M77" s="15">
        <v>0.47</v>
      </c>
      <c r="N77" s="7" t="s">
        <v>128</v>
      </c>
      <c r="O77" s="7" t="s">
        <v>128</v>
      </c>
      <c r="P77" s="7">
        <v>0.06</v>
      </c>
      <c r="Q77" s="11"/>
      <c r="S77" s="8">
        <v>1</v>
      </c>
      <c r="T77" t="s">
        <v>119</v>
      </c>
      <c r="V77" s="16">
        <v>7.87</v>
      </c>
      <c r="W77" s="7" t="s">
        <v>128</v>
      </c>
      <c r="X77" s="7" t="s">
        <v>128</v>
      </c>
      <c r="Y77" s="7">
        <v>-0.64</v>
      </c>
      <c r="Z77" s="11"/>
      <c r="AE77" s="3">
        <v>44323</v>
      </c>
      <c r="AF77">
        <v>2.609</v>
      </c>
      <c r="AH77" s="3">
        <v>44323</v>
      </c>
      <c r="AI77">
        <v>3.1480000000000001</v>
      </c>
    </row>
    <row r="78" spans="1:35" x14ac:dyDescent="0.25">
      <c r="A78" s="8">
        <v>0</v>
      </c>
      <c r="B78" t="s">
        <v>145</v>
      </c>
      <c r="C78" t="s">
        <v>113</v>
      </c>
      <c r="D78" s="16">
        <v>4.3</v>
      </c>
      <c r="E78" s="11">
        <v>0</v>
      </c>
      <c r="F78" s="11">
        <v>0</v>
      </c>
      <c r="G78" s="11">
        <v>-0.6</v>
      </c>
      <c r="H78" s="11"/>
      <c r="J78" s="8">
        <v>-1</v>
      </c>
      <c r="K78" t="s">
        <v>145</v>
      </c>
      <c r="L78" t="s">
        <v>112</v>
      </c>
      <c r="M78" s="16">
        <v>8.5</v>
      </c>
      <c r="N78" s="7">
        <v>0</v>
      </c>
      <c r="O78" s="7">
        <v>0</v>
      </c>
      <c r="P78" s="7">
        <v>-2</v>
      </c>
      <c r="Q78" s="11"/>
      <c r="S78" s="8">
        <v>-1</v>
      </c>
      <c r="T78" t="s">
        <v>145</v>
      </c>
      <c r="U78" t="s">
        <v>146</v>
      </c>
      <c r="V78" s="15">
        <v>5.67</v>
      </c>
      <c r="W78" s="7">
        <v>0</v>
      </c>
      <c r="X78" s="7">
        <v>0</v>
      </c>
      <c r="Y78" s="7">
        <v>-0.36</v>
      </c>
      <c r="Z78" s="11"/>
      <c r="AE78" s="3">
        <v>44316</v>
      </c>
      <c r="AF78">
        <v>2.633</v>
      </c>
      <c r="AH78" s="3">
        <v>44316</v>
      </c>
      <c r="AI78">
        <v>3.1539999999999999</v>
      </c>
    </row>
    <row r="79" spans="1:35" x14ac:dyDescent="0.25">
      <c r="A79" s="8" t="s">
        <v>377</v>
      </c>
      <c r="B79" t="s">
        <v>92</v>
      </c>
      <c r="D79" s="7">
        <v>1.2625</v>
      </c>
      <c r="E79" s="7">
        <v>3.7499999999999867E-2</v>
      </c>
      <c r="F79" s="7">
        <v>0.16562499999999991</v>
      </c>
      <c r="G79" s="7" t="s">
        <v>128</v>
      </c>
      <c r="H79" s="7">
        <v>1</v>
      </c>
      <c r="J79" s="8" t="s">
        <v>377</v>
      </c>
      <c r="K79" t="s">
        <v>92</v>
      </c>
      <c r="M79" s="7">
        <v>-0.47513910074260468</v>
      </c>
      <c r="N79" s="7" t="s">
        <v>128</v>
      </c>
      <c r="O79" s="7" t="s">
        <v>128</v>
      </c>
      <c r="P79" s="7" t="s">
        <v>128</v>
      </c>
      <c r="Q79" s="7">
        <v>1</v>
      </c>
      <c r="S79" s="8" t="s">
        <v>377</v>
      </c>
      <c r="T79" t="s">
        <v>92</v>
      </c>
      <c r="U79" t="s">
        <v>146</v>
      </c>
      <c r="V79" s="7">
        <v>-0.80500000000000005</v>
      </c>
      <c r="W79" s="7">
        <v>-1.4999999999999999E-2</v>
      </c>
      <c r="X79" s="7">
        <v>-1.6E-2</v>
      </c>
      <c r="Y79" s="7">
        <v>-4.3999999999999997E-2</v>
      </c>
      <c r="Z79" s="7">
        <v>-1</v>
      </c>
      <c r="AE79" s="3">
        <v>44309</v>
      </c>
      <c r="AF79">
        <v>2.665</v>
      </c>
      <c r="AH79" s="3">
        <v>44309</v>
      </c>
      <c r="AI79">
        <v>3.1720000000000002</v>
      </c>
    </row>
    <row r="80" spans="1:35" x14ac:dyDescent="0.25">
      <c r="A80" s="8">
        <v>3.8499999999999996</v>
      </c>
      <c r="B80" t="s">
        <v>93</v>
      </c>
      <c r="D80" s="7">
        <v>1.4623300000000001</v>
      </c>
      <c r="E80" s="7">
        <v>4.0430000000000001E-2</v>
      </c>
      <c r="F80" s="7">
        <v>9.7570000000000004E-2</v>
      </c>
      <c r="G80" s="7">
        <v>0.53749999999999998</v>
      </c>
      <c r="H80" s="7">
        <v>1</v>
      </c>
      <c r="J80" s="12">
        <v>3.5999999999999996</v>
      </c>
      <c r="K80" t="s">
        <v>129</v>
      </c>
      <c r="M80" s="7">
        <v>0.28999999999999998</v>
      </c>
      <c r="N80" s="7">
        <v>-1E-3</v>
      </c>
      <c r="O80" s="7">
        <v>-1.4999999999999999E-2</v>
      </c>
      <c r="P80" s="7">
        <v>7.8E-2</v>
      </c>
      <c r="Q80" s="7">
        <v>0</v>
      </c>
      <c r="S80" s="12">
        <v>3.3500000000000005</v>
      </c>
      <c r="T80" t="s">
        <v>129</v>
      </c>
      <c r="V80" s="7">
        <v>6.2140000000000001E-2</v>
      </c>
      <c r="W80" s="7">
        <v>0</v>
      </c>
      <c r="X80" s="7">
        <v>-2.15E-3</v>
      </c>
      <c r="Y80" s="7">
        <v>-0.12856999999999999</v>
      </c>
      <c r="Z80" s="7">
        <v>0</v>
      </c>
    </row>
    <row r="81" spans="1:26" x14ac:dyDescent="0.25">
      <c r="A81" t="s">
        <v>169</v>
      </c>
      <c r="B81" t="s">
        <v>94</v>
      </c>
      <c r="D81" s="7">
        <v>1.730839</v>
      </c>
      <c r="E81" s="7">
        <v>1.856425000000006</v>
      </c>
      <c r="F81" s="7">
        <v>16.250800000000009</v>
      </c>
      <c r="G81" s="7">
        <v>60.398924999999991</v>
      </c>
      <c r="H81" s="7">
        <v>1</v>
      </c>
      <c r="J81" t="s">
        <v>168</v>
      </c>
      <c r="K81" t="s">
        <v>130</v>
      </c>
      <c r="M81" s="7">
        <v>-0.214</v>
      </c>
      <c r="N81" s="7">
        <v>-0.02</v>
      </c>
      <c r="O81" s="7">
        <v>-0.13</v>
      </c>
      <c r="P81" s="7">
        <v>-0.64600000000000002</v>
      </c>
      <c r="Q81" s="7">
        <v>-1</v>
      </c>
      <c r="S81" t="s">
        <v>168</v>
      </c>
      <c r="T81" t="s">
        <v>101</v>
      </c>
      <c r="V81" s="7">
        <v>-0.69499999999999995</v>
      </c>
      <c r="W81" s="7">
        <v>1.0999999999999999E-2</v>
      </c>
      <c r="X81" s="7">
        <v>3.2000000000000001E-2</v>
      </c>
      <c r="Y81" s="7">
        <v>7.0000000000000001E-3</v>
      </c>
      <c r="Z81" s="7">
        <v>1</v>
      </c>
    </row>
    <row r="82" spans="1:26" x14ac:dyDescent="0.25">
      <c r="A82" t="s">
        <v>376</v>
      </c>
      <c r="B82" t="s">
        <v>95</v>
      </c>
      <c r="D82" s="7">
        <v>2.3205140000000002</v>
      </c>
      <c r="E82" s="7">
        <v>-5.6602649999999866</v>
      </c>
      <c r="F82" s="7">
        <v>-4.7715149999999706</v>
      </c>
      <c r="G82" s="10">
        <v>-3.1046399999999696</v>
      </c>
      <c r="H82" s="7">
        <v>-1</v>
      </c>
      <c r="J82" t="s">
        <v>168</v>
      </c>
      <c r="K82" t="s">
        <v>131</v>
      </c>
      <c r="M82" s="7">
        <v>1.925</v>
      </c>
      <c r="N82" s="7">
        <v>-5.3999999999999999E-2</v>
      </c>
      <c r="O82" s="7">
        <v>-0.36299999999999999</v>
      </c>
      <c r="P82" s="10">
        <v>-1.7530000000000001</v>
      </c>
      <c r="Q82" s="7">
        <v>-1</v>
      </c>
      <c r="S82" t="s">
        <v>168</v>
      </c>
      <c r="T82" t="s">
        <v>102</v>
      </c>
      <c r="V82" s="7">
        <v>0.34699999999999998</v>
      </c>
      <c r="W82" s="10">
        <v>-2.9000000000000001E-2</v>
      </c>
      <c r="X82" s="10">
        <v>-8.5000000000000006E-2</v>
      </c>
      <c r="Y82" s="10">
        <v>8.5000000000000006E-2</v>
      </c>
      <c r="Z82" s="7">
        <v>0</v>
      </c>
    </row>
    <row r="83" spans="1:26" x14ac:dyDescent="0.25">
      <c r="B83" t="s">
        <v>121</v>
      </c>
      <c r="D83" s="7">
        <v>99.6</v>
      </c>
      <c r="E83" s="7">
        <v>-0.69789999999999996</v>
      </c>
      <c r="F83" s="7">
        <v>-0.79679999999999995</v>
      </c>
      <c r="G83" s="10">
        <v>-6.2146999999999997</v>
      </c>
      <c r="H83" s="7">
        <v>-1</v>
      </c>
      <c r="J83" s="9"/>
      <c r="K83" t="s">
        <v>123</v>
      </c>
      <c r="M83" s="15">
        <v>94.87</v>
      </c>
      <c r="N83" s="7">
        <v>-0.1263</v>
      </c>
      <c r="O83" s="7">
        <v>0.33839999999999998</v>
      </c>
      <c r="P83" s="10">
        <v>7.6356000000000002</v>
      </c>
      <c r="Q83" s="7">
        <v>0</v>
      </c>
      <c r="T83" t="s">
        <v>123</v>
      </c>
      <c r="V83" s="6">
        <v>94.87</v>
      </c>
      <c r="W83" s="7">
        <v>-0.1263</v>
      </c>
      <c r="X83" s="7">
        <v>0.33839999999999998</v>
      </c>
      <c r="Y83" s="10">
        <v>7.6356000000000002</v>
      </c>
      <c r="Z83" s="7">
        <v>0</v>
      </c>
    </row>
    <row r="84" spans="1:26" x14ac:dyDescent="0.25">
      <c r="B84" t="s">
        <v>8</v>
      </c>
      <c r="D84" s="15">
        <v>19.454408188574973</v>
      </c>
      <c r="E84" s="7">
        <v>1.2656799999999999</v>
      </c>
      <c r="F84" s="7">
        <v>1.251476</v>
      </c>
      <c r="G84" s="10">
        <v>17.79637</v>
      </c>
      <c r="H84" s="7">
        <v>1</v>
      </c>
      <c r="K84" t="s">
        <v>132</v>
      </c>
      <c r="M84" s="15">
        <v>17.044386766737869</v>
      </c>
      <c r="N84" s="7">
        <v>0.72101289999999996</v>
      </c>
      <c r="O84" s="7">
        <v>-2.3273269999999999</v>
      </c>
      <c r="P84" s="10">
        <v>19.939550000000001</v>
      </c>
      <c r="Q84" s="7">
        <v>0</v>
      </c>
      <c r="T84" t="s">
        <v>141</v>
      </c>
      <c r="V84" s="15">
        <v>14.704983839026534</v>
      </c>
      <c r="W84" s="7">
        <v>-0.2963829</v>
      </c>
      <c r="X84" s="7">
        <v>4.1606539999999997E-2</v>
      </c>
      <c r="Y84" s="10">
        <v>22.003489999999999</v>
      </c>
      <c r="Z84" s="7">
        <v>0</v>
      </c>
    </row>
    <row r="85" spans="1:26" x14ac:dyDescent="0.25">
      <c r="C85" s="22"/>
      <c r="D85" s="39">
        <v>0.52051400000000014</v>
      </c>
      <c r="F85" s="7"/>
      <c r="G85" s="7"/>
      <c r="H85" s="7"/>
      <c r="M85" s="39">
        <v>2.5000000000000133E-2</v>
      </c>
      <c r="O85" s="7"/>
      <c r="P85" s="7"/>
      <c r="Q85" s="7"/>
      <c r="V85" s="39">
        <v>-1.2530000000000001</v>
      </c>
      <c r="X85" s="7"/>
      <c r="Y85" s="7"/>
      <c r="Z85" s="7"/>
    </row>
    <row r="86" spans="1:26" x14ac:dyDescent="0.25">
      <c r="A86" s="19" t="s">
        <v>3</v>
      </c>
      <c r="B86" s="13">
        <v>0</v>
      </c>
      <c r="C86" s="1"/>
      <c r="D86" s="1"/>
      <c r="E86" s="1"/>
      <c r="F86" s="23"/>
      <c r="G86" s="23"/>
      <c r="H86" s="7"/>
      <c r="J86" s="19" t="s">
        <v>19</v>
      </c>
      <c r="K86" s="13">
        <v>0</v>
      </c>
      <c r="L86" s="1"/>
      <c r="M86" s="1"/>
      <c r="N86" s="1"/>
      <c r="O86" s="23"/>
      <c r="P86" s="23"/>
      <c r="Q86" s="7"/>
      <c r="S86" s="19" t="s">
        <v>153</v>
      </c>
      <c r="T86" s="13">
        <v>1</v>
      </c>
      <c r="U86" s="1"/>
      <c r="V86" s="1"/>
      <c r="W86" s="1"/>
      <c r="X86" s="23"/>
      <c r="Y86" s="23"/>
      <c r="Z86" s="24"/>
    </row>
    <row r="87" spans="1:26" x14ac:dyDescent="0.25">
      <c r="A87" s="8">
        <v>0</v>
      </c>
      <c r="B87" t="s">
        <v>2</v>
      </c>
      <c r="D87" s="15">
        <v>1.4</v>
      </c>
      <c r="E87" s="7" t="s">
        <v>128</v>
      </c>
      <c r="F87" s="7">
        <v>-0.1</v>
      </c>
      <c r="G87" s="7">
        <v>0.9</v>
      </c>
      <c r="H87" s="7"/>
      <c r="J87" s="8">
        <v>0</v>
      </c>
      <c r="K87" t="s">
        <v>2</v>
      </c>
      <c r="M87" s="15">
        <v>1.7</v>
      </c>
      <c r="N87" s="7" t="s">
        <v>128</v>
      </c>
      <c r="O87" s="7">
        <v>-0.1</v>
      </c>
      <c r="P87" s="7">
        <v>1.2</v>
      </c>
      <c r="Q87" s="7"/>
      <c r="S87" s="8">
        <v>0</v>
      </c>
      <c r="T87" t="s">
        <v>2</v>
      </c>
      <c r="V87" s="15">
        <v>1.9</v>
      </c>
      <c r="W87" s="7" t="s">
        <v>128</v>
      </c>
      <c r="X87" s="7">
        <v>0.3</v>
      </c>
      <c r="Y87" s="7">
        <v>-0.2</v>
      </c>
      <c r="Z87" s="24"/>
    </row>
    <row r="88" spans="1:26" x14ac:dyDescent="0.25">
      <c r="A88" s="8">
        <v>0</v>
      </c>
      <c r="B88" t="s">
        <v>120</v>
      </c>
      <c r="D88" s="15">
        <v>2.5</v>
      </c>
      <c r="E88" s="7" t="s">
        <v>128</v>
      </c>
      <c r="F88" s="7" t="s">
        <v>128</v>
      </c>
      <c r="G88" s="7">
        <v>0.2</v>
      </c>
      <c r="H88" s="7"/>
      <c r="J88" s="8">
        <v>1</v>
      </c>
      <c r="K88" t="s">
        <v>120</v>
      </c>
      <c r="M88" s="15">
        <v>3.1</v>
      </c>
      <c r="N88" s="7" t="s">
        <v>128</v>
      </c>
      <c r="O88" s="7" t="s">
        <v>128</v>
      </c>
      <c r="P88" s="7">
        <v>-0.1</v>
      </c>
      <c r="Q88" s="7"/>
      <c r="S88" s="8">
        <v>1</v>
      </c>
      <c r="T88" t="s">
        <v>7</v>
      </c>
      <c r="V88" s="16">
        <v>6.8</v>
      </c>
      <c r="W88" s="7" t="s">
        <v>128</v>
      </c>
      <c r="X88" s="7" t="s">
        <v>128</v>
      </c>
      <c r="Y88" s="7">
        <v>0.1</v>
      </c>
      <c r="Z88" s="24"/>
    </row>
    <row r="89" spans="1:26" x14ac:dyDescent="0.25">
      <c r="A89" s="8">
        <v>0</v>
      </c>
      <c r="B89" t="s">
        <v>127</v>
      </c>
      <c r="D89" s="16">
        <v>-1.26</v>
      </c>
      <c r="E89" s="7" t="s">
        <v>128</v>
      </c>
      <c r="F89" s="7" t="s">
        <v>128</v>
      </c>
      <c r="G89" s="7">
        <v>0.51</v>
      </c>
      <c r="H89" s="7"/>
      <c r="J89" s="8">
        <v>-1</v>
      </c>
      <c r="K89" t="s">
        <v>127</v>
      </c>
      <c r="M89" s="16">
        <v>-4.5</v>
      </c>
      <c r="N89" s="7" t="s">
        <v>128</v>
      </c>
      <c r="O89" s="7" t="s">
        <v>128</v>
      </c>
      <c r="P89" s="7">
        <v>0.8</v>
      </c>
      <c r="Q89" s="7"/>
      <c r="S89" s="8">
        <v>-1</v>
      </c>
      <c r="T89" t="s">
        <v>127</v>
      </c>
      <c r="V89" s="15">
        <v>-3.43</v>
      </c>
      <c r="W89" s="7" t="s">
        <v>128</v>
      </c>
      <c r="X89" s="7" t="s">
        <v>128</v>
      </c>
      <c r="Y89" s="7">
        <v>-1.67</v>
      </c>
      <c r="Z89" s="24"/>
    </row>
    <row r="90" spans="1:26" x14ac:dyDescent="0.25">
      <c r="A90" s="8">
        <v>1</v>
      </c>
      <c r="B90" t="s">
        <v>119</v>
      </c>
      <c r="D90" s="16">
        <v>3.02</v>
      </c>
      <c r="E90" s="7" t="s">
        <v>128</v>
      </c>
      <c r="F90" s="7" t="s">
        <v>128</v>
      </c>
      <c r="G90" s="7">
        <v>-0.45</v>
      </c>
      <c r="H90" s="7"/>
      <c r="J90" s="8">
        <v>1</v>
      </c>
      <c r="K90" s="17" t="s">
        <v>119</v>
      </c>
      <c r="L90" s="22"/>
      <c r="M90" s="15">
        <v>1.8399999999999999</v>
      </c>
      <c r="N90" s="7" t="s">
        <v>128</v>
      </c>
      <c r="O90" s="7" t="s">
        <v>128</v>
      </c>
      <c r="P90" s="7">
        <v>0.35</v>
      </c>
      <c r="Q90" s="7"/>
      <c r="S90" s="8">
        <v>1</v>
      </c>
      <c r="T90" t="s">
        <v>119</v>
      </c>
      <c r="V90" s="15">
        <v>0.99</v>
      </c>
      <c r="W90" s="7" t="s">
        <v>128</v>
      </c>
      <c r="X90" s="7" t="s">
        <v>128</v>
      </c>
      <c r="Y90" s="7">
        <v>-1.44</v>
      </c>
      <c r="Z90" s="24"/>
    </row>
    <row r="91" spans="1:26" x14ac:dyDescent="0.25">
      <c r="A91" s="8">
        <v>-1</v>
      </c>
      <c r="B91" t="s">
        <v>145</v>
      </c>
      <c r="C91" t="s">
        <v>114</v>
      </c>
      <c r="D91" s="16">
        <v>8.9700000000000006</v>
      </c>
      <c r="E91" s="7">
        <v>0</v>
      </c>
      <c r="F91" s="7">
        <v>0</v>
      </c>
      <c r="G91" s="7">
        <v>-0.96</v>
      </c>
      <c r="H91" s="7"/>
      <c r="J91" s="8">
        <v>-1</v>
      </c>
      <c r="K91" t="s">
        <v>145</v>
      </c>
      <c r="L91" t="s">
        <v>118</v>
      </c>
      <c r="M91" s="16">
        <v>16.8</v>
      </c>
      <c r="N91" s="7">
        <v>0</v>
      </c>
      <c r="O91" s="7">
        <v>0</v>
      </c>
      <c r="P91" s="7">
        <v>-2.57</v>
      </c>
      <c r="Q91" s="7"/>
      <c r="S91" s="8">
        <v>0</v>
      </c>
      <c r="T91" t="s">
        <v>145</v>
      </c>
      <c r="U91" t="s">
        <v>117</v>
      </c>
      <c r="V91" s="15">
        <v>3.95</v>
      </c>
      <c r="W91" s="7">
        <v>0</v>
      </c>
      <c r="X91" s="7">
        <v>0</v>
      </c>
      <c r="Y91" s="7">
        <v>-0.1</v>
      </c>
      <c r="Z91" s="24"/>
    </row>
    <row r="92" spans="1:26" x14ac:dyDescent="0.25">
      <c r="A92" s="8" t="s">
        <v>377</v>
      </c>
      <c r="B92" t="s">
        <v>92</v>
      </c>
      <c r="D92" s="7">
        <v>-0.80500000000000005</v>
      </c>
      <c r="E92" s="7">
        <v>-1.4999999999999999E-2</v>
      </c>
      <c r="F92" s="7">
        <v>-1.6E-2</v>
      </c>
      <c r="G92" s="7">
        <v>-4.3999999999999997E-2</v>
      </c>
      <c r="H92" s="7">
        <v>-1</v>
      </c>
      <c r="J92" s="8" t="s">
        <v>377</v>
      </c>
      <c r="K92" t="s">
        <v>92</v>
      </c>
      <c r="M92" s="7">
        <v>-0.45700000000000002</v>
      </c>
      <c r="N92" s="7">
        <v>0.106</v>
      </c>
      <c r="O92" s="7">
        <v>-3.5000000000000003E-2</v>
      </c>
      <c r="P92" s="7">
        <v>-0.217</v>
      </c>
      <c r="Q92" s="7">
        <v>0</v>
      </c>
      <c r="S92" s="8" t="s">
        <v>378</v>
      </c>
      <c r="T92" t="s">
        <v>92</v>
      </c>
      <c r="V92" s="7">
        <v>3.5720000000000001</v>
      </c>
      <c r="W92" s="7">
        <v>0</v>
      </c>
      <c r="X92" s="7">
        <v>0</v>
      </c>
      <c r="Y92" s="7" t="s">
        <v>128</v>
      </c>
      <c r="Z92" s="7">
        <v>0</v>
      </c>
    </row>
    <row r="93" spans="1:26" x14ac:dyDescent="0.25">
      <c r="A93" s="12">
        <v>3.3499999999999996</v>
      </c>
      <c r="B93" t="s">
        <v>93</v>
      </c>
      <c r="D93" s="7">
        <v>6.2140000000000001E-2</v>
      </c>
      <c r="E93" s="7">
        <v>0</v>
      </c>
      <c r="F93" s="7">
        <v>-2.15E-3</v>
      </c>
      <c r="G93" s="7">
        <v>-0.12856999999999999</v>
      </c>
      <c r="H93" s="7">
        <v>0</v>
      </c>
      <c r="J93" s="12">
        <v>3.6000000000000005</v>
      </c>
      <c r="K93" t="s">
        <v>93</v>
      </c>
      <c r="M93" s="7">
        <v>6.2859999999999999E-2</v>
      </c>
      <c r="N93" s="7">
        <v>7.2000000000000005E-4</v>
      </c>
      <c r="O93" s="7">
        <v>-1.4300000000000001E-3</v>
      </c>
      <c r="P93" s="7">
        <v>-0.12784999999999999</v>
      </c>
      <c r="Q93" s="7">
        <v>0</v>
      </c>
      <c r="S93" s="12">
        <v>3.3999999999999995</v>
      </c>
      <c r="T93" t="s">
        <v>93</v>
      </c>
      <c r="V93" s="7">
        <v>4.6517999999999997</v>
      </c>
      <c r="W93" s="7">
        <v>5.0200000000000002E-2</v>
      </c>
      <c r="X93" s="7">
        <v>0.27250000000000002</v>
      </c>
      <c r="Y93" s="10">
        <v>1.6661000000000001</v>
      </c>
      <c r="Z93" s="7">
        <v>1</v>
      </c>
    </row>
    <row r="94" spans="1:26" x14ac:dyDescent="0.25">
      <c r="A94" t="s">
        <v>169</v>
      </c>
      <c r="B94" t="s">
        <v>101</v>
      </c>
      <c r="D94" s="7">
        <v>-0.69499999999999995</v>
      </c>
      <c r="E94" s="7">
        <v>1.0999999999999999E-2</v>
      </c>
      <c r="F94" s="7">
        <v>3.2000000000000001E-2</v>
      </c>
      <c r="G94" s="7">
        <v>7.0000000000000001E-3</v>
      </c>
      <c r="H94" s="7">
        <v>1</v>
      </c>
      <c r="J94" t="s">
        <v>168</v>
      </c>
      <c r="K94" t="s">
        <v>136</v>
      </c>
      <c r="M94" s="7">
        <v>-0.34799999999999998</v>
      </c>
      <c r="N94" s="7">
        <v>1E-3</v>
      </c>
      <c r="O94" s="7">
        <v>-7.1999999999999995E-2</v>
      </c>
      <c r="P94" s="7">
        <v>-0.217</v>
      </c>
      <c r="Q94" s="7">
        <v>0</v>
      </c>
      <c r="S94" t="s">
        <v>169</v>
      </c>
      <c r="T94" t="s">
        <v>166</v>
      </c>
      <c r="V94" s="7">
        <v>2.7010000000000001</v>
      </c>
      <c r="W94" s="7">
        <v>0</v>
      </c>
      <c r="X94" s="7">
        <v>0</v>
      </c>
      <c r="Y94" s="7">
        <v>2.7010000000000001</v>
      </c>
      <c r="Z94" s="7">
        <v>0</v>
      </c>
    </row>
    <row r="95" spans="1:26" x14ac:dyDescent="0.25">
      <c r="A95" t="s">
        <v>169</v>
      </c>
      <c r="B95" t="s">
        <v>102</v>
      </c>
      <c r="D95" s="7">
        <v>0.34699999999999998</v>
      </c>
      <c r="E95" s="10">
        <v>-2.9000000000000001E-2</v>
      </c>
      <c r="F95" s="10">
        <v>-8.5000000000000006E-2</v>
      </c>
      <c r="G95" s="10">
        <v>8.5000000000000006E-2</v>
      </c>
      <c r="H95" s="7">
        <v>0</v>
      </c>
      <c r="J95" t="s">
        <v>168</v>
      </c>
      <c r="K95" t="s">
        <v>137</v>
      </c>
      <c r="M95" s="7">
        <v>1.4630000000000001</v>
      </c>
      <c r="N95" s="7">
        <v>-7.9000000000000001E-2</v>
      </c>
      <c r="O95" s="7">
        <v>-0.16400000000000001</v>
      </c>
      <c r="P95" s="10">
        <v>-0.13300000000000001</v>
      </c>
      <c r="Q95" s="7">
        <v>-1</v>
      </c>
      <c r="S95" t="s">
        <v>169</v>
      </c>
      <c r="T95" t="s">
        <v>167</v>
      </c>
      <c r="V95" s="7">
        <v>3.9359999999999999</v>
      </c>
      <c r="W95" s="7">
        <v>2.0000000000000018E-2</v>
      </c>
      <c r="X95" s="7">
        <v>0.21099999999999985</v>
      </c>
      <c r="Y95" s="7">
        <v>3.9359999999999999</v>
      </c>
      <c r="Z95" s="7">
        <v>1</v>
      </c>
    </row>
    <row r="96" spans="1:26" x14ac:dyDescent="0.25">
      <c r="B96" t="s">
        <v>123</v>
      </c>
      <c r="D96" s="6">
        <v>94.87</v>
      </c>
      <c r="E96" s="7">
        <v>-0.1263</v>
      </c>
      <c r="F96" s="7">
        <v>0.33839999999999998</v>
      </c>
      <c r="G96" s="10">
        <v>7.6356000000000002</v>
      </c>
      <c r="H96" s="7">
        <v>0</v>
      </c>
      <c r="K96" t="s">
        <v>123</v>
      </c>
      <c r="M96" s="7">
        <v>94.87</v>
      </c>
      <c r="N96" s="7">
        <v>-0.1263</v>
      </c>
      <c r="O96" s="7">
        <v>0.33839999999999998</v>
      </c>
      <c r="P96" s="10">
        <v>7.6356000000000002</v>
      </c>
      <c r="Q96" s="7">
        <v>0</v>
      </c>
      <c r="T96" t="s">
        <v>126</v>
      </c>
      <c r="V96" s="7">
        <v>119.77</v>
      </c>
      <c r="W96" s="7">
        <v>-0.63</v>
      </c>
      <c r="X96" s="7">
        <v>0.45</v>
      </c>
      <c r="Y96" s="10">
        <v>-1.85</v>
      </c>
      <c r="Z96" s="7">
        <v>0</v>
      </c>
    </row>
    <row r="97" spans="1:26" x14ac:dyDescent="0.25">
      <c r="B97" t="s">
        <v>122</v>
      </c>
      <c r="D97" s="15">
        <v>15.47623120922146</v>
      </c>
      <c r="E97" s="7">
        <v>0.20393710000000001</v>
      </c>
      <c r="F97" s="7">
        <v>-1.019711</v>
      </c>
      <c r="G97" s="10">
        <v>17.806899999999999</v>
      </c>
      <c r="H97" s="7">
        <v>0</v>
      </c>
      <c r="K97" t="s">
        <v>133</v>
      </c>
      <c r="M97" s="15">
        <v>15.168725169215914</v>
      </c>
      <c r="N97" s="7">
        <v>-0.5540872</v>
      </c>
      <c r="O97" s="7">
        <v>-1.265579</v>
      </c>
      <c r="P97" s="10">
        <v>16.288609999999998</v>
      </c>
      <c r="Q97" s="7">
        <v>0</v>
      </c>
      <c r="T97" t="s">
        <v>173</v>
      </c>
      <c r="V97" s="15">
        <v>12.386773611879395</v>
      </c>
      <c r="W97" s="7">
        <v>1.9742230000000001</v>
      </c>
      <c r="X97" s="7">
        <v>8.8683449999999997</v>
      </c>
      <c r="Y97" s="10">
        <v>30.6511</v>
      </c>
      <c r="Z97" s="7">
        <v>1</v>
      </c>
    </row>
    <row r="98" spans="1:26" x14ac:dyDescent="0.25">
      <c r="D98" s="39">
        <v>-1.0529999999999999</v>
      </c>
      <c r="E98" s="7"/>
      <c r="F98" s="7"/>
      <c r="G98" s="7"/>
      <c r="H98" s="7"/>
      <c r="M98" s="39">
        <v>-0.23699999999999988</v>
      </c>
      <c r="N98" s="7"/>
      <c r="O98" s="7"/>
      <c r="P98" s="7"/>
      <c r="Q98" s="7"/>
      <c r="V98" s="39">
        <v>2.036</v>
      </c>
      <c r="W98" s="7"/>
      <c r="X98" s="7"/>
      <c r="Y98" s="7"/>
      <c r="Z98" s="7"/>
    </row>
    <row r="99" spans="1:26" x14ac:dyDescent="0.25">
      <c r="A99" s="19" t="s">
        <v>4</v>
      </c>
      <c r="B99" s="13">
        <v>-1</v>
      </c>
      <c r="C99" s="1"/>
      <c r="D99" s="1"/>
      <c r="E99" s="1"/>
      <c r="F99" s="23"/>
      <c r="G99" s="23"/>
      <c r="H99" s="7"/>
      <c r="J99" s="19" t="s">
        <v>18</v>
      </c>
      <c r="K99" s="13">
        <v>-1</v>
      </c>
      <c r="L99" s="1"/>
      <c r="M99" s="1"/>
      <c r="N99" s="1"/>
      <c r="O99" s="23"/>
      <c r="P99" s="23"/>
      <c r="Q99" s="7"/>
      <c r="S99" s="19" t="s">
        <v>178</v>
      </c>
      <c r="T99" s="13">
        <v>-1</v>
      </c>
      <c r="U99" s="1"/>
      <c r="V99" s="1"/>
      <c r="W99" s="1"/>
      <c r="X99" s="23"/>
      <c r="Y99" s="23"/>
      <c r="Z99" s="7"/>
    </row>
    <row r="100" spans="1:26" x14ac:dyDescent="0.25">
      <c r="A100" s="8">
        <v>-1</v>
      </c>
      <c r="B100" t="s">
        <v>2</v>
      </c>
      <c r="D100" s="15">
        <v>0.7</v>
      </c>
      <c r="E100" s="7" t="s">
        <v>128</v>
      </c>
      <c r="F100" s="7">
        <v>0</v>
      </c>
      <c r="G100" s="7">
        <v>1.2</v>
      </c>
      <c r="H100" s="7">
        <v>0</v>
      </c>
      <c r="J100" s="8">
        <v>-1</v>
      </c>
      <c r="K100" t="s">
        <v>2</v>
      </c>
      <c r="M100" s="15">
        <v>0.9</v>
      </c>
      <c r="N100" s="7" t="s">
        <v>128</v>
      </c>
      <c r="O100" s="7">
        <v>-0.2</v>
      </c>
      <c r="P100" s="7">
        <v>1</v>
      </c>
      <c r="Q100" s="7">
        <v>0</v>
      </c>
      <c r="S100" s="8">
        <v>-1</v>
      </c>
      <c r="T100" t="s">
        <v>2</v>
      </c>
      <c r="V100" s="15">
        <v>2.7</v>
      </c>
      <c r="W100" s="7" t="s">
        <v>128</v>
      </c>
      <c r="X100" s="7">
        <v>-0.3</v>
      </c>
      <c r="Y100" s="7">
        <v>-3.4</v>
      </c>
      <c r="Z100" s="7"/>
    </row>
    <row r="101" spans="1:26" x14ac:dyDescent="0.25">
      <c r="A101" s="8">
        <v>0</v>
      </c>
      <c r="B101" t="s">
        <v>120</v>
      </c>
      <c r="D101" s="15">
        <v>1.7</v>
      </c>
      <c r="E101" s="7" t="s">
        <v>128</v>
      </c>
      <c r="F101" s="7" t="s">
        <v>128</v>
      </c>
      <c r="G101" s="7">
        <v>0.1</v>
      </c>
      <c r="H101" s="7">
        <v>1</v>
      </c>
      <c r="J101" s="8">
        <v>0</v>
      </c>
      <c r="K101" t="s">
        <v>120</v>
      </c>
      <c r="M101" s="15">
        <v>1.8</v>
      </c>
      <c r="N101" s="7" t="s">
        <v>128</v>
      </c>
      <c r="O101" s="7" t="s">
        <v>128</v>
      </c>
      <c r="P101" s="7">
        <v>0.2</v>
      </c>
      <c r="Q101" s="7">
        <v>1</v>
      </c>
      <c r="S101" s="8">
        <v>0</v>
      </c>
      <c r="T101" t="s">
        <v>7</v>
      </c>
      <c r="V101" s="16">
        <v>1.8</v>
      </c>
      <c r="W101" s="7" t="s">
        <v>128</v>
      </c>
      <c r="X101" s="7" t="s">
        <v>128</v>
      </c>
      <c r="Y101" s="7">
        <v>2.2000000000000002</v>
      </c>
      <c r="Z101" s="7"/>
    </row>
    <row r="102" spans="1:26" x14ac:dyDescent="0.25">
      <c r="A102" s="8">
        <v>-1</v>
      </c>
      <c r="B102" t="s">
        <v>127</v>
      </c>
      <c r="D102" s="16">
        <v>-5.67</v>
      </c>
      <c r="E102" s="7" t="s">
        <v>128</v>
      </c>
      <c r="F102" s="7" t="s">
        <v>128</v>
      </c>
      <c r="G102" s="7">
        <v>1.03</v>
      </c>
      <c r="H102" s="7">
        <v>1</v>
      </c>
      <c r="J102" s="8">
        <v>0</v>
      </c>
      <c r="K102" t="s">
        <v>127</v>
      </c>
      <c r="M102" s="15">
        <v>-2.5</v>
      </c>
      <c r="N102" s="7" t="s">
        <v>128</v>
      </c>
      <c r="O102" s="7" t="s">
        <v>128</v>
      </c>
      <c r="P102" s="7">
        <v>0.8</v>
      </c>
      <c r="Q102" s="7">
        <v>1</v>
      </c>
      <c r="S102" s="8">
        <v>0</v>
      </c>
      <c r="T102" t="s">
        <v>127</v>
      </c>
      <c r="V102" s="15">
        <v>-2.46</v>
      </c>
      <c r="W102" s="7" t="s">
        <v>128</v>
      </c>
      <c r="X102" s="7" t="s">
        <v>128</v>
      </c>
      <c r="Y102" s="7">
        <v>1.19</v>
      </c>
      <c r="Z102" s="7"/>
    </row>
    <row r="103" spans="1:26" x14ac:dyDescent="0.25">
      <c r="A103" s="8">
        <v>1</v>
      </c>
      <c r="B103" t="s">
        <v>119</v>
      </c>
      <c r="D103" s="15">
        <v>3.99</v>
      </c>
      <c r="E103" s="7" t="s">
        <v>128</v>
      </c>
      <c r="F103" s="7" t="s">
        <v>128</v>
      </c>
      <c r="G103" s="7">
        <v>0.36</v>
      </c>
      <c r="H103" s="7">
        <v>1</v>
      </c>
      <c r="J103" s="8">
        <v>1</v>
      </c>
      <c r="K103" t="s">
        <v>119</v>
      </c>
      <c r="M103" s="15">
        <v>2.75</v>
      </c>
      <c r="N103" s="7" t="s">
        <v>128</v>
      </c>
      <c r="O103" s="7" t="s">
        <v>128</v>
      </c>
      <c r="P103" s="7">
        <v>0.45</v>
      </c>
      <c r="Q103" s="7">
        <v>1</v>
      </c>
      <c r="S103" s="8">
        <v>1</v>
      </c>
      <c r="T103" t="s">
        <v>119</v>
      </c>
      <c r="V103" s="15">
        <v>2.36</v>
      </c>
      <c r="W103" s="7" t="s">
        <v>128</v>
      </c>
      <c r="X103" s="7" t="s">
        <v>128</v>
      </c>
      <c r="Y103" s="7">
        <v>-0.71</v>
      </c>
      <c r="Z103" s="7"/>
    </row>
    <row r="104" spans="1:26" x14ac:dyDescent="0.25">
      <c r="A104" s="8">
        <v>0</v>
      </c>
      <c r="B104" t="s">
        <v>145</v>
      </c>
      <c r="C104" t="s">
        <v>115</v>
      </c>
      <c r="D104" s="15">
        <v>2.8</v>
      </c>
      <c r="E104" s="7">
        <v>0</v>
      </c>
      <c r="F104" s="7">
        <v>0</v>
      </c>
      <c r="G104" s="7">
        <v>-0.23</v>
      </c>
      <c r="H104" s="7">
        <v>0</v>
      </c>
      <c r="J104" s="8">
        <v>-1</v>
      </c>
      <c r="K104" t="s">
        <v>145</v>
      </c>
      <c r="L104" t="s">
        <v>147</v>
      </c>
      <c r="M104" s="16">
        <v>11.17</v>
      </c>
      <c r="N104" s="7">
        <v>0</v>
      </c>
      <c r="O104" s="7">
        <v>0</v>
      </c>
      <c r="P104" s="7">
        <v>-0.43</v>
      </c>
      <c r="Q104" s="7">
        <v>0</v>
      </c>
      <c r="S104" s="8">
        <v>-1</v>
      </c>
      <c r="T104" t="s">
        <v>145</v>
      </c>
      <c r="U104" t="s">
        <v>179</v>
      </c>
      <c r="V104" s="15">
        <v>5</v>
      </c>
      <c r="W104" s="7">
        <v>0</v>
      </c>
      <c r="X104" s="7">
        <v>0</v>
      </c>
      <c r="Y104" s="7">
        <v>-0.23</v>
      </c>
      <c r="Z104" s="7"/>
    </row>
    <row r="105" spans="1:26" x14ac:dyDescent="0.25">
      <c r="A105" s="8" t="s">
        <v>377</v>
      </c>
      <c r="B105" t="s">
        <v>92</v>
      </c>
      <c r="D105" s="7">
        <v>-4.8099999999999997E-2</v>
      </c>
      <c r="E105" s="7">
        <v>-1.07E-3</v>
      </c>
      <c r="F105" s="7">
        <v>-8.0999999999999996E-3</v>
      </c>
      <c r="G105" s="7">
        <v>6.8999999999999999E-3</v>
      </c>
      <c r="H105" s="7">
        <v>0</v>
      </c>
      <c r="J105" s="8" t="s">
        <v>377</v>
      </c>
      <c r="K105" t="s">
        <v>92</v>
      </c>
      <c r="M105" s="7">
        <v>-0.53671016037525077</v>
      </c>
      <c r="N105" s="7" t="s">
        <v>128</v>
      </c>
      <c r="O105" s="7" t="s">
        <v>128</v>
      </c>
      <c r="P105" s="7" t="s">
        <v>128</v>
      </c>
      <c r="Q105" s="7">
        <v>1</v>
      </c>
      <c r="S105" s="8" t="s">
        <v>378</v>
      </c>
      <c r="T105" t="s">
        <v>92</v>
      </c>
      <c r="V105" s="7">
        <v>7.3757999999999999</v>
      </c>
      <c r="W105" s="7">
        <v>-0.1237</v>
      </c>
      <c r="X105" s="7">
        <v>-0.14380000000000001</v>
      </c>
      <c r="Y105" s="7">
        <v>-1.863</v>
      </c>
      <c r="Z105" s="7"/>
    </row>
    <row r="106" spans="1:26" x14ac:dyDescent="0.25">
      <c r="A106" s="8">
        <v>1.9000000000000004</v>
      </c>
      <c r="B106" t="s">
        <v>93</v>
      </c>
      <c r="D106" s="7">
        <v>-2.7210000000000002E-2</v>
      </c>
      <c r="E106" s="7">
        <v>1.086E-2</v>
      </c>
      <c r="F106" s="7">
        <v>8.3599999999999994E-3</v>
      </c>
      <c r="G106" s="7">
        <v>3.5360000000000003E-2</v>
      </c>
      <c r="H106" s="7">
        <v>1</v>
      </c>
      <c r="J106" s="12">
        <v>1.7499999999999996</v>
      </c>
      <c r="K106" t="s">
        <v>93</v>
      </c>
      <c r="M106" s="7">
        <v>6.2859999999999999E-2</v>
      </c>
      <c r="N106" s="7">
        <v>7.2000000000000005E-4</v>
      </c>
      <c r="O106" s="7">
        <v>-1.4300000000000001E-3</v>
      </c>
      <c r="P106" s="7">
        <v>-0.12784999999999999</v>
      </c>
      <c r="Q106" s="7">
        <v>0</v>
      </c>
      <c r="S106" s="12">
        <v>0</v>
      </c>
      <c r="T106" t="s">
        <v>93</v>
      </c>
      <c r="V106" s="7">
        <v>7.96</v>
      </c>
      <c r="W106" s="7">
        <v>-0.03</v>
      </c>
      <c r="X106" s="7">
        <v>0.23</v>
      </c>
      <c r="Y106" s="10">
        <v>-2.12</v>
      </c>
      <c r="Z106" s="7"/>
    </row>
    <row r="107" spans="1:26" x14ac:dyDescent="0.25">
      <c r="A107" t="s">
        <v>169</v>
      </c>
      <c r="B107" t="s">
        <v>99</v>
      </c>
      <c r="D107" s="7">
        <v>-0.184</v>
      </c>
      <c r="E107" s="7">
        <v>4.0000000000000001E-3</v>
      </c>
      <c r="F107" s="7">
        <v>-0.05</v>
      </c>
      <c r="G107" s="7">
        <v>-0.03</v>
      </c>
      <c r="H107" s="7">
        <v>0</v>
      </c>
      <c r="J107" t="s">
        <v>168</v>
      </c>
      <c r="K107" t="s">
        <v>134</v>
      </c>
      <c r="M107" s="7">
        <v>-0.36099999999999999</v>
      </c>
      <c r="N107" s="7">
        <v>-6.3E-2</v>
      </c>
      <c r="O107" s="7">
        <v>-0.123</v>
      </c>
      <c r="P107" s="7">
        <v>-0.375</v>
      </c>
      <c r="Q107" s="7">
        <v>-1</v>
      </c>
      <c r="S107" t="s">
        <v>379</v>
      </c>
      <c r="T107" t="s">
        <v>166</v>
      </c>
      <c r="V107" s="7">
        <v>7.3257000000000003</v>
      </c>
      <c r="W107" s="7">
        <v>-4.0099999999999997E-2</v>
      </c>
      <c r="X107" s="7">
        <v>-2.5100000000000001E-2</v>
      </c>
      <c r="Y107" s="7">
        <v>-1.3633999999999999</v>
      </c>
      <c r="Z107" s="7"/>
    </row>
    <row r="108" spans="1:26" x14ac:dyDescent="0.25">
      <c r="A108" t="s">
        <v>375</v>
      </c>
      <c r="B108" t="s">
        <v>100</v>
      </c>
      <c r="D108" s="7">
        <v>2.5000000000000001E-2</v>
      </c>
      <c r="E108" s="7">
        <v>-2.7E-2</v>
      </c>
      <c r="F108" s="7">
        <v>-4.3999999999999997E-2</v>
      </c>
      <c r="G108" s="10">
        <v>-8.0000000000000002E-3</v>
      </c>
      <c r="H108" s="7">
        <v>-1</v>
      </c>
      <c r="J108" t="s">
        <v>168</v>
      </c>
      <c r="K108" t="s">
        <v>135</v>
      </c>
      <c r="M108" s="7">
        <v>1.7829999999999999</v>
      </c>
      <c r="N108" s="7">
        <v>-7.0999999999999994E-2</v>
      </c>
      <c r="O108" s="7">
        <v>-0.27500000000000002</v>
      </c>
      <c r="P108" s="10">
        <v>-0.52600000000000002</v>
      </c>
      <c r="Q108" s="7">
        <v>-1</v>
      </c>
      <c r="S108" t="s">
        <v>169</v>
      </c>
      <c r="T108" t="s">
        <v>167</v>
      </c>
      <c r="V108" s="7">
        <v>7.6852999999999998</v>
      </c>
      <c r="W108" s="7">
        <v>-4.0000000000000001E-3</v>
      </c>
      <c r="X108" s="7">
        <v>0.10100000000000001</v>
      </c>
      <c r="Y108" s="7">
        <v>-1.1497999999999999</v>
      </c>
      <c r="Z108" s="7"/>
    </row>
    <row r="109" spans="1:26" x14ac:dyDescent="0.25">
      <c r="B109" t="s">
        <v>124</v>
      </c>
      <c r="D109" s="7">
        <v>110</v>
      </c>
      <c r="E109" s="7">
        <v>1.32</v>
      </c>
      <c r="F109" s="7">
        <v>1.74</v>
      </c>
      <c r="G109" s="10">
        <v>-4.0599999999999996</v>
      </c>
      <c r="H109" s="7">
        <v>0</v>
      </c>
      <c r="K109" t="s">
        <v>123</v>
      </c>
      <c r="M109" s="7">
        <v>94.87</v>
      </c>
      <c r="N109" s="7">
        <v>-0.1263</v>
      </c>
      <c r="O109" s="7">
        <v>0.33839999999999998</v>
      </c>
      <c r="P109" s="10">
        <v>7.6356000000000002</v>
      </c>
      <c r="Q109" s="7">
        <v>0</v>
      </c>
      <c r="T109" t="s">
        <v>180</v>
      </c>
      <c r="V109" s="7">
        <v>203.45429999999999</v>
      </c>
      <c r="W109" s="7">
        <v>2.3144900000000002</v>
      </c>
      <c r="X109" s="7">
        <v>2.0552299999999999</v>
      </c>
      <c r="Y109" s="10">
        <v>-4.04251</v>
      </c>
      <c r="Z109" s="7"/>
    </row>
    <row r="110" spans="1:26" x14ac:dyDescent="0.25">
      <c r="B110" t="s">
        <v>9</v>
      </c>
      <c r="D110" s="15">
        <v>19.120961374465121</v>
      </c>
      <c r="E110" s="7">
        <v>2.2463340000000001</v>
      </c>
      <c r="F110" s="7">
        <v>3.8093439999999998</v>
      </c>
      <c r="G110" s="10">
        <v>24.00609</v>
      </c>
      <c r="H110" s="7">
        <v>1</v>
      </c>
      <c r="K110" t="s">
        <v>138</v>
      </c>
      <c r="M110" s="15">
        <v>15.471309005239664</v>
      </c>
      <c r="N110" s="7">
        <v>0.86091700000000004</v>
      </c>
      <c r="O110" s="7">
        <v>8.3198569999999999E-2</v>
      </c>
      <c r="P110" s="10">
        <v>35.479239999999997</v>
      </c>
      <c r="Q110" s="7">
        <v>1</v>
      </c>
      <c r="T110" t="s">
        <v>181</v>
      </c>
      <c r="V110" s="15">
        <v>7.6579212249496429</v>
      </c>
      <c r="W110" s="7">
        <v>3.1854979999999999</v>
      </c>
      <c r="X110" s="7">
        <v>4.4949060000000003</v>
      </c>
      <c r="Y110" s="10">
        <v>14.006779999999999</v>
      </c>
      <c r="Z110" s="7"/>
    </row>
    <row r="111" spans="1:26" x14ac:dyDescent="0.25">
      <c r="C111" s="22"/>
      <c r="D111" s="39">
        <v>-0.67499999999999993</v>
      </c>
      <c r="M111" s="39">
        <v>0.8829999999999999</v>
      </c>
      <c r="V111" s="39">
        <v>4.9852999999999996</v>
      </c>
      <c r="W111" s="7"/>
      <c r="X111" s="7"/>
      <c r="Y111" s="7"/>
      <c r="Z111" s="7"/>
    </row>
    <row r="112" spans="1:26" x14ac:dyDescent="0.25">
      <c r="A112" s="19" t="s">
        <v>5</v>
      </c>
      <c r="B112" s="13">
        <v>-2</v>
      </c>
      <c r="C112" s="1"/>
      <c r="D112" s="1"/>
      <c r="E112" s="1"/>
      <c r="F112" s="23"/>
      <c r="G112" s="23"/>
      <c r="H112" s="7"/>
      <c r="J112" s="19" t="s">
        <v>139</v>
      </c>
      <c r="K112" s="13">
        <v>-2</v>
      </c>
      <c r="L112" s="1"/>
      <c r="M112" s="1"/>
      <c r="N112" s="1"/>
      <c r="O112" s="23"/>
      <c r="P112" s="23"/>
      <c r="Q112" s="7"/>
      <c r="V112" s="15"/>
      <c r="W112" s="7"/>
      <c r="X112" s="7"/>
      <c r="Y112" s="7"/>
      <c r="Z112" s="7"/>
    </row>
    <row r="113" spans="1:24" x14ac:dyDescent="0.25">
      <c r="A113" s="8">
        <v>-1</v>
      </c>
      <c r="B113" t="s">
        <v>2</v>
      </c>
      <c r="D113" s="15">
        <v>4</v>
      </c>
      <c r="E113" s="7" t="s">
        <v>128</v>
      </c>
      <c r="F113" s="7">
        <v>0.1</v>
      </c>
      <c r="G113" s="7">
        <v>2</v>
      </c>
      <c r="H113" s="7"/>
      <c r="J113" s="8">
        <v>0</v>
      </c>
      <c r="K113" t="s">
        <v>2</v>
      </c>
      <c r="M113" s="15">
        <v>1.1000000000000001</v>
      </c>
      <c r="N113" s="7" t="s">
        <v>128</v>
      </c>
      <c r="O113" s="7">
        <v>0.1</v>
      </c>
      <c r="P113" s="7">
        <v>0.7</v>
      </c>
      <c r="Q113" s="7"/>
      <c r="T113" s="11"/>
      <c r="V113" s="11"/>
      <c r="W113" s="15"/>
      <c r="X113" s="11"/>
    </row>
    <row r="114" spans="1:24" x14ac:dyDescent="0.25">
      <c r="A114" s="8">
        <v>0</v>
      </c>
      <c r="B114" t="s">
        <v>120</v>
      </c>
      <c r="D114" s="15">
        <v>1.5</v>
      </c>
      <c r="E114" s="7" t="s">
        <v>128</v>
      </c>
      <c r="F114" s="7" t="s">
        <v>128</v>
      </c>
      <c r="G114" s="7">
        <v>0</v>
      </c>
      <c r="H114" s="7"/>
      <c r="J114" s="8">
        <v>0</v>
      </c>
      <c r="K114" t="s">
        <v>120</v>
      </c>
      <c r="M114" s="15">
        <v>2.2000000000000002</v>
      </c>
      <c r="N114" s="7" t="s">
        <v>128</v>
      </c>
      <c r="O114" s="7" t="s">
        <v>128</v>
      </c>
      <c r="P114" s="7">
        <v>-1.2</v>
      </c>
      <c r="Q114" s="7"/>
      <c r="S114" s="8"/>
      <c r="T114" s="11"/>
      <c r="V114" s="11"/>
      <c r="W114" s="15"/>
      <c r="X114" s="11"/>
    </row>
    <row r="115" spans="1:24" x14ac:dyDescent="0.25">
      <c r="A115" s="8">
        <v>0</v>
      </c>
      <c r="B115" t="s">
        <v>127</v>
      </c>
      <c r="D115" s="16">
        <v>-2.34</v>
      </c>
      <c r="E115" s="7" t="s">
        <v>128</v>
      </c>
      <c r="F115" s="7" t="s">
        <v>128</v>
      </c>
      <c r="G115" s="7">
        <v>1.3</v>
      </c>
      <c r="H115" s="7"/>
      <c r="J115" s="8">
        <v>-1</v>
      </c>
      <c r="K115" t="s">
        <v>127</v>
      </c>
      <c r="M115" s="16">
        <v>-3.4</v>
      </c>
      <c r="N115" s="7" t="s">
        <v>128</v>
      </c>
      <c r="O115" s="7" t="s">
        <v>128</v>
      </c>
      <c r="P115" s="7">
        <v>0.2</v>
      </c>
      <c r="Q115" s="7"/>
      <c r="S115" s="9"/>
      <c r="T115" s="11"/>
      <c r="V115" s="11"/>
      <c r="W115" s="15"/>
      <c r="X115" s="11"/>
    </row>
    <row r="116" spans="1:24" x14ac:dyDescent="0.25">
      <c r="A116" s="8">
        <v>-1</v>
      </c>
      <c r="B116" t="s">
        <v>119</v>
      </c>
      <c r="D116" s="16">
        <v>-5.07</v>
      </c>
      <c r="E116" s="7" t="s">
        <v>128</v>
      </c>
      <c r="F116" s="7" t="s">
        <v>128</v>
      </c>
      <c r="G116" s="7">
        <v>0.86</v>
      </c>
      <c r="H116" s="7"/>
      <c r="J116" s="8">
        <v>0</v>
      </c>
      <c r="K116" t="s">
        <v>119</v>
      </c>
      <c r="M116" s="15">
        <v>-1.17</v>
      </c>
      <c r="N116" s="7" t="s">
        <v>128</v>
      </c>
      <c r="O116" s="7" t="s">
        <v>128</v>
      </c>
      <c r="P116" s="7">
        <v>-0.35</v>
      </c>
      <c r="Q116" s="7"/>
      <c r="T116" s="11"/>
      <c r="V116" s="11"/>
      <c r="W116" s="15"/>
      <c r="X116" s="11"/>
    </row>
    <row r="117" spans="1:24" x14ac:dyDescent="0.25">
      <c r="A117" s="8">
        <v>0</v>
      </c>
      <c r="B117" t="s">
        <v>145</v>
      </c>
      <c r="C117" t="s">
        <v>116</v>
      </c>
      <c r="D117" s="16">
        <v>4.3</v>
      </c>
      <c r="E117" s="7">
        <v>0</v>
      </c>
      <c r="F117" s="7">
        <v>0</v>
      </c>
      <c r="G117" s="7">
        <v>-0.6</v>
      </c>
      <c r="H117" s="7"/>
      <c r="J117" s="8">
        <v>-1</v>
      </c>
      <c r="K117" t="s">
        <v>145</v>
      </c>
      <c r="L117" t="s">
        <v>148</v>
      </c>
      <c r="M117" s="16">
        <v>9.6999999999999993</v>
      </c>
      <c r="N117" s="7">
        <v>0</v>
      </c>
      <c r="O117" s="7">
        <v>0</v>
      </c>
      <c r="P117" s="7">
        <v>-0.23</v>
      </c>
      <c r="Q117" s="7"/>
      <c r="T117" s="11"/>
      <c r="V117" s="11"/>
      <c r="W117" s="15"/>
      <c r="X117" s="11"/>
    </row>
    <row r="118" spans="1:24" x14ac:dyDescent="0.25">
      <c r="A118" s="8" t="s">
        <v>377</v>
      </c>
      <c r="B118" t="s">
        <v>92</v>
      </c>
      <c r="D118" s="7">
        <v>0.374</v>
      </c>
      <c r="E118" s="7">
        <v>-1.07E-3</v>
      </c>
      <c r="F118" s="7">
        <v>3.3000000000000002E-2</v>
      </c>
      <c r="G118" s="7">
        <v>0.16900000000000001</v>
      </c>
      <c r="H118" s="7">
        <v>0</v>
      </c>
      <c r="J118" s="8" t="s">
        <v>380</v>
      </c>
      <c r="K118" t="s">
        <v>92</v>
      </c>
      <c r="M118" s="7">
        <v>-0.69581820687160301</v>
      </c>
      <c r="N118" s="7" t="s">
        <v>128</v>
      </c>
      <c r="O118" s="7" t="s">
        <v>128</v>
      </c>
      <c r="P118" s="7" t="s">
        <v>128</v>
      </c>
      <c r="Q118" s="7">
        <v>1</v>
      </c>
      <c r="T118" s="11"/>
      <c r="V118" s="11"/>
      <c r="W118" s="15"/>
      <c r="X118" s="11"/>
    </row>
    <row r="119" spans="1:24" x14ac:dyDescent="0.25">
      <c r="A119" s="12">
        <v>6.25</v>
      </c>
      <c r="B119" t="s">
        <v>93</v>
      </c>
      <c r="D119" s="7">
        <v>0.52263000000000004</v>
      </c>
      <c r="E119" s="7">
        <v>-3.62E-3</v>
      </c>
      <c r="F119" s="7">
        <v>0.13122</v>
      </c>
      <c r="G119" s="7">
        <v>0.12425</v>
      </c>
      <c r="H119" s="7">
        <v>0</v>
      </c>
      <c r="J119" s="12">
        <v>0</v>
      </c>
      <c r="K119" t="s">
        <v>129</v>
      </c>
      <c r="M119" s="7">
        <v>6.2140000000000001E-2</v>
      </c>
      <c r="N119" s="7">
        <v>0</v>
      </c>
      <c r="O119" s="7">
        <v>-2.15E-3</v>
      </c>
      <c r="P119" s="7">
        <v>-0.12856999999999999</v>
      </c>
      <c r="Q119" s="7">
        <v>0</v>
      </c>
      <c r="T119" s="11"/>
      <c r="V119" s="11"/>
      <c r="W119" s="15"/>
      <c r="X119" s="11"/>
    </row>
    <row r="120" spans="1:24" x14ac:dyDescent="0.25">
      <c r="A120" t="s">
        <v>169</v>
      </c>
      <c r="B120" t="s">
        <v>103</v>
      </c>
      <c r="D120" s="7">
        <v>0.45500000000000002</v>
      </c>
      <c r="E120" s="7">
        <v>-4.4999999999999998E-2</v>
      </c>
      <c r="F120" s="7">
        <v>1.4E-2</v>
      </c>
      <c r="G120" s="7">
        <v>0.308</v>
      </c>
      <c r="H120" s="7">
        <v>0</v>
      </c>
      <c r="J120" t="s">
        <v>168</v>
      </c>
      <c r="K120" t="s">
        <v>142</v>
      </c>
      <c r="M120" s="7">
        <v>-0.56100000000000005</v>
      </c>
      <c r="N120" s="7">
        <v>2.5013160674263846</v>
      </c>
      <c r="O120" s="7">
        <v>-2.8240839325736178</v>
      </c>
      <c r="P120" s="7">
        <v>0.49692606742638423</v>
      </c>
      <c r="Q120" s="7">
        <v>0</v>
      </c>
    </row>
    <row r="121" spans="1:24" x14ac:dyDescent="0.25">
      <c r="A121" t="s">
        <v>169</v>
      </c>
      <c r="B121" t="s">
        <v>104</v>
      </c>
      <c r="D121" s="7">
        <v>1.2488999999999999</v>
      </c>
      <c r="E121" s="7">
        <v>-0.06</v>
      </c>
      <c r="F121" s="7">
        <v>-6.3E-2</v>
      </c>
      <c r="G121" s="10">
        <v>-0.2</v>
      </c>
      <c r="H121" s="7">
        <v>-1</v>
      </c>
      <c r="J121" t="s">
        <v>168</v>
      </c>
      <c r="K121" t="s">
        <v>143</v>
      </c>
      <c r="M121" s="7">
        <v>0.67900000000000005</v>
      </c>
      <c r="N121" s="7">
        <v>-5.0332893087998372</v>
      </c>
      <c r="O121" s="7">
        <v>-16.069759308799846</v>
      </c>
      <c r="P121" s="10">
        <v>-10.407419308799836</v>
      </c>
      <c r="Q121" s="7">
        <v>-1</v>
      </c>
    </row>
    <row r="122" spans="1:24" x14ac:dyDescent="0.25">
      <c r="B122" t="s">
        <v>125</v>
      </c>
      <c r="D122" s="7">
        <v>72.73</v>
      </c>
      <c r="E122" s="7">
        <v>0.18</v>
      </c>
      <c r="F122" s="7">
        <v>0.12</v>
      </c>
      <c r="G122" s="10">
        <v>-1.4</v>
      </c>
      <c r="H122" s="7">
        <v>0</v>
      </c>
      <c r="K122" t="s">
        <v>123</v>
      </c>
      <c r="M122" s="7">
        <v>94.87</v>
      </c>
      <c r="N122" s="7">
        <v>-0.1263</v>
      </c>
      <c r="O122" s="7">
        <v>0.33839999999999998</v>
      </c>
      <c r="P122" s="10">
        <v>7.6356000000000002</v>
      </c>
      <c r="Q122" s="7">
        <v>0</v>
      </c>
    </row>
    <row r="123" spans="1:24" x14ac:dyDescent="0.25">
      <c r="B123" t="s">
        <v>10</v>
      </c>
      <c r="D123" s="15">
        <v>15.003935932175391</v>
      </c>
      <c r="E123" s="7">
        <v>0.4101842</v>
      </c>
      <c r="F123" s="7">
        <v>-1.4248209999999999</v>
      </c>
      <c r="G123" s="10">
        <v>8.7937189999999994</v>
      </c>
      <c r="H123" s="7">
        <v>0</v>
      </c>
      <c r="K123" t="s">
        <v>144</v>
      </c>
      <c r="M123" s="15">
        <v>15.771194317685167</v>
      </c>
      <c r="N123" s="7">
        <v>0.80859650000000005</v>
      </c>
      <c r="O123" s="7">
        <v>-0.13495960000000001</v>
      </c>
      <c r="P123" s="10">
        <v>18.774360000000001</v>
      </c>
      <c r="Q123" s="7">
        <v>0</v>
      </c>
      <c r="V123" s="6"/>
    </row>
    <row r="124" spans="1:24" x14ac:dyDescent="0.25">
      <c r="C124" s="22"/>
      <c r="D124" s="39">
        <v>-2.7511000000000001</v>
      </c>
      <c r="M124" s="39">
        <v>-0.42100000000000004</v>
      </c>
      <c r="V124" s="15"/>
    </row>
  </sheetData>
  <sortState ref="T41:X50">
    <sortCondition descending="1" ref="V39:V48"/>
  </sortState>
  <conditionalFormatting sqref="H10:H15 H31:H41 Z4:Z15 H23:H29 H49:H54 Q4:Q15 Q31:Q41 Q18:Q29 Q44:Q54 Z23:Z28">
    <cfRule type="cellIs" dxfId="129" priority="280" operator="lessThan">
      <formula>0</formula>
    </cfRule>
    <cfRule type="cellIs" dxfId="128" priority="281" operator="greaterThan">
      <formula>0</formula>
    </cfRule>
  </conditionalFormatting>
  <conditionalFormatting sqref="E29:G29">
    <cfRule type="expression" dxfId="127" priority="279">
      <formula>$H29&lt;&gt;0</formula>
    </cfRule>
  </conditionalFormatting>
  <conditionalFormatting sqref="N29:P29">
    <cfRule type="expression" dxfId="126" priority="29">
      <formula>$H29&lt;&gt;0</formula>
    </cfRule>
  </conditionalFormatting>
  <conditionalFormatting sqref="E29:G29">
    <cfRule type="expression" dxfId="125" priority="12">
      <formula>$H29&lt;&gt;0</formula>
    </cfRule>
  </conditionalFormatting>
  <conditionalFormatting sqref="N29:P29">
    <cfRule type="expression" dxfId="124" priority="10">
      <formula>$H29&lt;&gt;0</formula>
    </cfRule>
  </conditionalFormatting>
  <conditionalFormatting sqref="H79:H84 H100:H110 Z74:Z84 H92:H98 H118:H123 Q74:Q84 Q100:Q110 Q87:Q98 Q113:Q123 Z92:Z97">
    <cfRule type="cellIs" dxfId="123" priority="5" operator="lessThan">
      <formula>0</formula>
    </cfRule>
    <cfRule type="cellIs" dxfId="122" priority="6" operator="greaterThan">
      <formula>0</formula>
    </cfRule>
  </conditionalFormatting>
  <conditionalFormatting sqref="E98:G98">
    <cfRule type="expression" dxfId="121" priority="4">
      <formula>$H98&lt;&gt;0</formula>
    </cfRule>
  </conditionalFormatting>
  <conditionalFormatting sqref="N98:P98">
    <cfRule type="expression" dxfId="120" priority="3">
      <formula>$H98&lt;&gt;0</formula>
    </cfRule>
  </conditionalFormatting>
  <conditionalFormatting sqref="E98:G98">
    <cfRule type="expression" dxfId="119" priority="2">
      <formula>$H98&lt;&gt;0</formula>
    </cfRule>
  </conditionalFormatting>
  <conditionalFormatting sqref="N98:P98">
    <cfRule type="expression" dxfId="118" priority="1">
      <formula>$H98&lt;&gt;0</formula>
    </cfRule>
  </conditionalFormatting>
  <pageMargins left="0.39" right="0.7" top="0.75" bottom="0.75" header="0.3" footer="0.3"/>
  <pageSetup scale="2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BA248"/>
  <sheetViews>
    <sheetView showGridLines="0" workbookViewId="0">
      <selection activeCell="K36" sqref="K36"/>
    </sheetView>
  </sheetViews>
  <sheetFormatPr defaultRowHeight="15" x14ac:dyDescent="0.25"/>
  <cols>
    <col min="34" max="35" width="13.140625" style="11" bestFit="1" customWidth="1"/>
    <col min="36" max="36" width="13.5703125" style="11" bestFit="1" customWidth="1"/>
    <col min="37" max="37" width="12.42578125" style="11" bestFit="1" customWidth="1"/>
    <col min="38" max="38" width="13.28515625" style="11" bestFit="1" customWidth="1"/>
    <col min="39" max="39" width="12.42578125" style="11" bestFit="1" customWidth="1"/>
    <col min="40" max="40" width="13.7109375" style="11" bestFit="1" customWidth="1"/>
    <col min="41" max="41" width="12.7109375" style="11" bestFit="1" customWidth="1"/>
    <col min="42" max="43" width="12.28515625" style="11" bestFit="1" customWidth="1"/>
    <col min="44" max="44" width="12.140625" style="11" bestFit="1" customWidth="1"/>
    <col min="45" max="45" width="12.28515625" style="11" bestFit="1" customWidth="1"/>
    <col min="46" max="46" width="12.140625" style="11" bestFit="1" customWidth="1"/>
    <col min="47" max="47" width="12.28515625" style="11" bestFit="1" customWidth="1"/>
    <col min="48" max="48" width="12" style="11" bestFit="1" customWidth="1"/>
    <col min="49" max="49" width="12.28515625" style="11" bestFit="1" customWidth="1"/>
    <col min="50" max="50" width="12.140625" style="11" bestFit="1" customWidth="1"/>
    <col min="51" max="51" width="12.28515625" style="11" bestFit="1" customWidth="1"/>
    <col min="52" max="52" width="12" style="11" bestFit="1" customWidth="1"/>
    <col min="53" max="53" width="12.28515625" style="11" bestFit="1" customWidth="1"/>
  </cols>
  <sheetData>
    <row r="1" spans="2:53" x14ac:dyDescent="0.25">
      <c r="AH1" s="11" t="str">
        <f>+E6</f>
        <v>US</v>
      </c>
      <c r="AJ1" s="11" t="str">
        <f>+G6</f>
        <v>UK</v>
      </c>
      <c r="AL1" s="11" t="str">
        <f>+I6</f>
        <v>JP</v>
      </c>
      <c r="AN1" s="11" t="str">
        <f>+K6</f>
        <v>CH</v>
      </c>
      <c r="AP1" s="11" t="str">
        <f>+M6</f>
        <v>EU</v>
      </c>
      <c r="AR1" s="11" t="str">
        <f>+O6</f>
        <v>GER</v>
      </c>
      <c r="AT1" s="11" t="str">
        <f>+Q6</f>
        <v>FRA</v>
      </c>
      <c r="AV1" s="11" t="str">
        <f>+S6</f>
        <v>ITL</v>
      </c>
      <c r="AX1" s="11" t="str">
        <f>+U6</f>
        <v>SPN</v>
      </c>
      <c r="AZ1" s="11" t="str">
        <f>+W6</f>
        <v>POR</v>
      </c>
    </row>
    <row r="2" spans="2:53" x14ac:dyDescent="0.25">
      <c r="B2" t="s">
        <v>915</v>
      </c>
      <c r="AH2" s="11" t="s">
        <v>120</v>
      </c>
      <c r="AI2" s="11" t="s">
        <v>2</v>
      </c>
      <c r="AJ2" s="11" t="s">
        <v>120</v>
      </c>
      <c r="AK2" s="11" t="s">
        <v>2</v>
      </c>
      <c r="AL2" s="11" t="s">
        <v>120</v>
      </c>
      <c r="AM2" s="11" t="s">
        <v>2</v>
      </c>
      <c r="AN2" s="11" t="s">
        <v>120</v>
      </c>
      <c r="AO2" s="11" t="s">
        <v>2</v>
      </c>
      <c r="AP2" s="11" t="s">
        <v>120</v>
      </c>
      <c r="AQ2" s="11" t="s">
        <v>2</v>
      </c>
      <c r="AR2" s="11" t="s">
        <v>120</v>
      </c>
      <c r="AS2" s="11" t="s">
        <v>2</v>
      </c>
      <c r="AT2" s="11" t="s">
        <v>120</v>
      </c>
      <c r="AU2" s="11" t="s">
        <v>2</v>
      </c>
      <c r="AV2" s="11" t="s">
        <v>120</v>
      </c>
      <c r="AW2" s="11" t="s">
        <v>2</v>
      </c>
      <c r="AX2" s="11" t="s">
        <v>120</v>
      </c>
      <c r="AY2" s="11" t="s">
        <v>2</v>
      </c>
      <c r="AZ2" s="11" t="s">
        <v>120</v>
      </c>
      <c r="BA2" s="11" t="s">
        <v>2</v>
      </c>
    </row>
    <row r="3" spans="2:53" x14ac:dyDescent="0.25">
      <c r="B3" t="s">
        <v>998</v>
      </c>
      <c r="AG3" t="s">
        <v>883</v>
      </c>
      <c r="AH3" s="59">
        <f>+AVERAGE(AH225:AH248)</f>
        <v>-0.70416666666666627</v>
      </c>
      <c r="AI3" s="59">
        <f>+AVERAGE(AI225:AI248)</f>
        <v>1.4666666666666668</v>
      </c>
      <c r="AJ3" s="59">
        <f t="shared" ref="AJ3:BA3" si="0">+AVERAGE(AJ225:AJ248)</f>
        <v>-0.22916666666666696</v>
      </c>
      <c r="AK3" s="59">
        <f t="shared" si="0"/>
        <v>1.8916666666666666</v>
      </c>
      <c r="AL3" s="59">
        <f t="shared" si="0"/>
        <v>-2.5166666666666662</v>
      </c>
      <c r="AM3" s="59">
        <f t="shared" si="0"/>
        <v>4.166666666666663E-2</v>
      </c>
      <c r="AN3" s="59">
        <f t="shared" si="0"/>
        <v>4.9249999999999998</v>
      </c>
      <c r="AO3" s="59">
        <f t="shared" si="0"/>
        <v>2.4041666666666668</v>
      </c>
      <c r="AP3" s="59">
        <f t="shared" si="0"/>
        <v>-2.6958333333333329</v>
      </c>
      <c r="AQ3" s="59">
        <f t="shared" si="0"/>
        <v>0.66666666666666663</v>
      </c>
      <c r="AR3" s="59">
        <f t="shared" si="0"/>
        <v>-2.15</v>
      </c>
      <c r="AS3" s="59">
        <f t="shared" si="0"/>
        <v>0.96249999999999991</v>
      </c>
      <c r="AT3" s="59">
        <f t="shared" si="0"/>
        <v>-3.1208333333333331</v>
      </c>
      <c r="AU3" s="59">
        <f t="shared" si="0"/>
        <v>0.73333333333333328</v>
      </c>
      <c r="AV3" s="59">
        <f t="shared" si="0"/>
        <v>-4.3356249999999994</v>
      </c>
      <c r="AW3" s="59">
        <f t="shared" si="0"/>
        <v>9.5833333333333368E-2</v>
      </c>
      <c r="AX3" s="59">
        <f t="shared" si="0"/>
        <v>-4.9624999999999995</v>
      </c>
      <c r="AY3" s="59">
        <f t="shared" si="0"/>
        <v>0.15416666666666667</v>
      </c>
      <c r="AZ3" s="59">
        <f t="shared" si="0"/>
        <v>-3.5374999999999992</v>
      </c>
      <c r="BA3" s="59">
        <f t="shared" si="0"/>
        <v>0.11333333333333333</v>
      </c>
    </row>
    <row r="4" spans="2:53" x14ac:dyDescent="0.25">
      <c r="AG4" t="s">
        <v>918</v>
      </c>
      <c r="AH4" s="59">
        <f>+AVERAGE(AH9:AH248)</f>
        <v>1.693723849372387</v>
      </c>
      <c r="AI4" s="59">
        <f>+AVERAGE(AI9:AI248)</f>
        <v>1.8945606694560684</v>
      </c>
      <c r="AJ4" s="59">
        <f t="shared" ref="AJ4:BA4" si="1">+AVERAGE(AJ9:AJ248)</f>
        <v>3.447698744769871</v>
      </c>
      <c r="AK4" s="59">
        <f t="shared" si="1"/>
        <v>2.7537500000000015</v>
      </c>
      <c r="AL4" s="59">
        <f t="shared" si="1"/>
        <v>0.44058577405857824</v>
      </c>
      <c r="AM4" s="59">
        <f t="shared" si="1"/>
        <v>0.13791666666666677</v>
      </c>
      <c r="AN4" s="77">
        <f>+AVERAGE(AN129:AN248)</f>
        <v>6.9374999999999938</v>
      </c>
      <c r="AO4" s="77">
        <f>+AVERAGE(AO129:AO248)</f>
        <v>2.3583333333333338</v>
      </c>
      <c r="AP4" s="59">
        <f t="shared" si="1"/>
        <v>0.81966527196652728</v>
      </c>
      <c r="AQ4" s="59">
        <f t="shared" si="1"/>
        <v>1.6166666666666651</v>
      </c>
      <c r="AR4" s="59">
        <f t="shared" si="1"/>
        <v>0.94644351464435117</v>
      </c>
      <c r="AS4" s="59">
        <f t="shared" si="1"/>
        <v>1.4091666666666662</v>
      </c>
      <c r="AT4" s="59">
        <f t="shared" si="1"/>
        <v>0.82259414225941363</v>
      </c>
      <c r="AU4" s="59">
        <f t="shared" si="1"/>
        <v>1.3566666666666662</v>
      </c>
      <c r="AV4" s="59">
        <f t="shared" si="1"/>
        <v>-0.28380753138075282</v>
      </c>
      <c r="AW4" s="59">
        <f t="shared" si="1"/>
        <v>1.452499999999999</v>
      </c>
      <c r="AX4" s="59">
        <f t="shared" si="1"/>
        <v>0.95857740585774143</v>
      </c>
      <c r="AY4" s="59">
        <f t="shared" si="1"/>
        <v>1.8808333333333336</v>
      </c>
      <c r="AZ4" s="59">
        <f t="shared" si="1"/>
        <v>0.24435146443514624</v>
      </c>
      <c r="BA4" s="59">
        <f t="shared" si="1"/>
        <v>1.6681249999999994</v>
      </c>
    </row>
    <row r="5" spans="2:53" x14ac:dyDescent="0.25">
      <c r="AH5" s="68">
        <f>+AH6-365*20</f>
        <v>37016</v>
      </c>
      <c r="AI5" s="68">
        <f>+AI6-365*20</f>
        <v>37016</v>
      </c>
      <c r="AJ5" s="68">
        <f t="shared" ref="AJ5:BA5" si="2">+AJ6-365*20</f>
        <v>37016</v>
      </c>
      <c r="AK5" s="68">
        <f t="shared" si="2"/>
        <v>37016</v>
      </c>
      <c r="AL5" s="68">
        <f t="shared" si="2"/>
        <v>37016</v>
      </c>
      <c r="AM5" s="68">
        <f t="shared" si="2"/>
        <v>37016</v>
      </c>
      <c r="AN5" s="68">
        <f t="shared" si="2"/>
        <v>37016</v>
      </c>
      <c r="AO5" s="68">
        <f t="shared" si="2"/>
        <v>37016</v>
      </c>
      <c r="AP5" s="68">
        <f t="shared" si="2"/>
        <v>37016</v>
      </c>
      <c r="AQ5" s="68">
        <f t="shared" si="2"/>
        <v>37016</v>
      </c>
      <c r="AR5" s="68">
        <f t="shared" si="2"/>
        <v>37016</v>
      </c>
      <c r="AS5" s="68">
        <f t="shared" si="2"/>
        <v>37016</v>
      </c>
      <c r="AT5" s="68">
        <f t="shared" si="2"/>
        <v>37016</v>
      </c>
      <c r="AU5" s="68">
        <f t="shared" si="2"/>
        <v>37016</v>
      </c>
      <c r="AV5" s="68">
        <f t="shared" si="2"/>
        <v>37016</v>
      </c>
      <c r="AW5" s="68">
        <f t="shared" si="2"/>
        <v>37016</v>
      </c>
      <c r="AX5" s="68">
        <f t="shared" si="2"/>
        <v>37016</v>
      </c>
      <c r="AY5" s="68">
        <f t="shared" si="2"/>
        <v>37016</v>
      </c>
      <c r="AZ5" s="68">
        <f t="shared" si="2"/>
        <v>37016</v>
      </c>
      <c r="BA5" s="68">
        <f t="shared" si="2"/>
        <v>37016</v>
      </c>
    </row>
    <row r="6" spans="2:53" x14ac:dyDescent="0.25">
      <c r="E6" s="11" t="s">
        <v>1</v>
      </c>
      <c r="F6" s="11"/>
      <c r="G6" s="11" t="s">
        <v>5</v>
      </c>
      <c r="H6" s="11"/>
      <c r="I6" s="11" t="s">
        <v>4</v>
      </c>
      <c r="J6" s="11"/>
      <c r="K6" s="11" t="s">
        <v>6</v>
      </c>
      <c r="L6" s="11"/>
      <c r="M6" s="11" t="s">
        <v>3</v>
      </c>
      <c r="N6" s="11"/>
      <c r="O6" s="11" t="s">
        <v>15</v>
      </c>
      <c r="P6" s="11"/>
      <c r="Q6" s="11" t="s">
        <v>149</v>
      </c>
      <c r="R6" s="11"/>
      <c r="S6" s="11" t="s">
        <v>150</v>
      </c>
      <c r="T6" s="11"/>
      <c r="U6" s="11" t="s">
        <v>151</v>
      </c>
      <c r="V6" s="11"/>
      <c r="W6" s="11" t="s">
        <v>152</v>
      </c>
      <c r="AH6" s="68">
        <v>44316</v>
      </c>
      <c r="AI6" s="68">
        <v>44316</v>
      </c>
      <c r="AJ6" s="68">
        <v>44316</v>
      </c>
      <c r="AK6" s="68">
        <v>44316</v>
      </c>
      <c r="AL6" s="68">
        <v>44316</v>
      </c>
      <c r="AM6" s="68">
        <v>44316</v>
      </c>
      <c r="AN6" s="68">
        <v>44316</v>
      </c>
      <c r="AO6" s="68">
        <v>44316</v>
      </c>
      <c r="AP6" s="68">
        <v>44316</v>
      </c>
      <c r="AQ6" s="68">
        <v>44316</v>
      </c>
      <c r="AR6" s="68">
        <v>44316</v>
      </c>
      <c r="AS6" s="68">
        <v>44316</v>
      </c>
      <c r="AT6" s="68">
        <v>44316</v>
      </c>
      <c r="AU6" s="68">
        <v>44316</v>
      </c>
      <c r="AV6" s="68">
        <v>44316</v>
      </c>
      <c r="AW6" s="68">
        <v>44316</v>
      </c>
      <c r="AX6" s="68">
        <v>44316</v>
      </c>
      <c r="AY6" s="68">
        <v>44316</v>
      </c>
      <c r="AZ6" s="68">
        <v>44316</v>
      </c>
      <c r="BA6" s="68">
        <v>44316</v>
      </c>
    </row>
    <row r="7" spans="2:53" x14ac:dyDescent="0.25">
      <c r="AH7" s="69" t="s">
        <v>884</v>
      </c>
      <c r="AI7" s="69" t="s">
        <v>885</v>
      </c>
      <c r="AJ7" s="69" t="s">
        <v>886</v>
      </c>
      <c r="AK7" s="69" t="s">
        <v>887</v>
      </c>
      <c r="AL7" s="69" t="s">
        <v>888</v>
      </c>
      <c r="AM7" s="69" t="s">
        <v>889</v>
      </c>
      <c r="AN7" s="69" t="s">
        <v>890</v>
      </c>
      <c r="AO7" s="69" t="s">
        <v>891</v>
      </c>
      <c r="AP7" s="69" t="s">
        <v>892</v>
      </c>
      <c r="AQ7" s="69" t="s">
        <v>893</v>
      </c>
      <c r="AR7" s="69" t="s">
        <v>894</v>
      </c>
      <c r="AS7" s="69" t="s">
        <v>895</v>
      </c>
      <c r="AT7" s="69" t="s">
        <v>896</v>
      </c>
      <c r="AU7" s="69" t="s">
        <v>897</v>
      </c>
      <c r="AV7" s="69" t="s">
        <v>898</v>
      </c>
      <c r="AW7" s="69" t="s">
        <v>899</v>
      </c>
      <c r="AX7" s="69" t="s">
        <v>900</v>
      </c>
      <c r="AY7" s="69" t="s">
        <v>901</v>
      </c>
      <c r="AZ7" s="69" t="s">
        <v>902</v>
      </c>
      <c r="BA7" s="69" t="s">
        <v>903</v>
      </c>
    </row>
    <row r="8" spans="2:53" x14ac:dyDescent="0.25">
      <c r="B8" t="s">
        <v>909</v>
      </c>
      <c r="E8" s="15">
        <f>+AI3</f>
        <v>1.4666666666666668</v>
      </c>
      <c r="F8" s="11"/>
      <c r="G8" s="15">
        <f>+AK3</f>
        <v>1.8916666666666666</v>
      </c>
      <c r="H8" s="11"/>
      <c r="I8" s="15">
        <f>+AM3</f>
        <v>4.166666666666663E-2</v>
      </c>
      <c r="J8" s="11"/>
      <c r="K8" s="15">
        <f>+AO3</f>
        <v>2.4041666666666668</v>
      </c>
      <c r="L8" s="11"/>
      <c r="M8" s="15">
        <f>+AQ3</f>
        <v>0.66666666666666663</v>
      </c>
      <c r="N8" s="11"/>
      <c r="O8" s="15">
        <f>+AS3</f>
        <v>0.96249999999999991</v>
      </c>
      <c r="P8" s="11"/>
      <c r="Q8" s="15">
        <f>+AU3</f>
        <v>0.73333333333333328</v>
      </c>
      <c r="R8" s="11"/>
      <c r="S8" s="15">
        <f>+AW3</f>
        <v>9.5833333333333368E-2</v>
      </c>
      <c r="T8" s="11"/>
      <c r="U8" s="15">
        <f>+AY3</f>
        <v>0.15416666666666667</v>
      </c>
      <c r="V8" s="11"/>
      <c r="W8" s="15">
        <f>+BA3</f>
        <v>0.11333333333333333</v>
      </c>
      <c r="AH8" s="69" t="s">
        <v>176</v>
      </c>
      <c r="AI8" s="69" t="s">
        <v>176</v>
      </c>
      <c r="AJ8" s="69" t="s">
        <v>176</v>
      </c>
      <c r="AK8" s="69" t="s">
        <v>176</v>
      </c>
      <c r="AL8" s="69" t="s">
        <v>176</v>
      </c>
      <c r="AM8" s="69" t="s">
        <v>176</v>
      </c>
      <c r="AN8" s="69" t="s">
        <v>176</v>
      </c>
      <c r="AO8" s="69" t="s">
        <v>176</v>
      </c>
      <c r="AP8" s="69" t="s">
        <v>176</v>
      </c>
      <c r="AQ8" s="69" t="s">
        <v>176</v>
      </c>
      <c r="AR8" s="69" t="s">
        <v>176</v>
      </c>
      <c r="AS8" s="69" t="s">
        <v>176</v>
      </c>
      <c r="AT8" s="69" t="s">
        <v>176</v>
      </c>
      <c r="AU8" s="69" t="s">
        <v>176</v>
      </c>
      <c r="AV8" s="69" t="s">
        <v>176</v>
      </c>
      <c r="AW8" s="69" t="s">
        <v>176</v>
      </c>
      <c r="AX8" s="69" t="s">
        <v>176</v>
      </c>
      <c r="AY8" s="69" t="s">
        <v>176</v>
      </c>
      <c r="AZ8" s="69" t="s">
        <v>176</v>
      </c>
      <c r="BA8" s="69" t="s">
        <v>176</v>
      </c>
    </row>
    <row r="9" spans="2:53" x14ac:dyDescent="0.25"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AH9" s="69" t="str">
        <f>_xll.BDH(AH$7,AH$8,AH5,AH6,"Dir=V","Per=M","Days=A","Dts=H","cols=1;rows=240")</f>
        <v>#N/A N/A</v>
      </c>
      <c r="AI9" s="69" t="str">
        <f>_xll.BDH(AI$7,AI$8,AI5,AI6,"Dir=V","Per=M","Days=A","Dts=H","cols=1;rows=240")</f>
        <v>#N/A N/A</v>
      </c>
      <c r="AJ9" s="69" t="str">
        <f>_xll.BDH(AJ$7,AJ$8,AJ5,AJ6,"Dir=V","Per=M","Days=A","Dts=H","cols=1;rows=240")</f>
        <v>#N/A N/A</v>
      </c>
      <c r="AK9" s="69">
        <f>_xll.BDH(AK$7,AK$8,AK5,AK6,"Dir=V","Per=M","Days=A","Dts=H","cols=1;rows=240")</f>
        <v>2.1</v>
      </c>
      <c r="AL9" s="69" t="str">
        <f>_xll.BDH(AL$7,AL$8,AL5,AL6,"Dir=V","Per=M","Days=A","Dts=H","cols=1;rows=240")</f>
        <v>#N/A N/A</v>
      </c>
      <c r="AM9" s="69">
        <f>_xll.BDH(AM$7,AM$8,AM5,AM6,"Dir=V","Per=M","Days=A","Dts=H","cols=1;rows=240")</f>
        <v>-0.7</v>
      </c>
      <c r="AN9" s="69" t="str">
        <f>_xll.BDH(AN$7,AN$8,AN5,AN6,"Dir=V","Per=M","Days=A","Dts=H","cols=1;rows=240")</f>
        <v>#N/A N/A</v>
      </c>
      <c r="AO9" s="69">
        <f>_xll.BDH(AO$7,AO$8,AO5,AO6,"Dir=V","Per=M","Days=A","Dts=H","cols=1;rows=240")</f>
        <v>1.7</v>
      </c>
      <c r="AP9" s="69" t="str">
        <f>_xll.BDH(AP$7,AP$8,AP5,AP6,"Dir=V","Per=M","Days=A","Dts=H","cols=1;rows=240")</f>
        <v>#N/A N/A</v>
      </c>
      <c r="AQ9" s="69">
        <f>_xll.BDH(AQ$7,AQ$8,AQ5,AQ6,"Dir=V","Per=M","Days=A","Dts=H","cols=1;rows=240")</f>
        <v>3.1</v>
      </c>
      <c r="AR9" s="69" t="str">
        <f>_xll.BDH(AR$7,AR$8,AR5,AR6,"Dir=V","Per=M","Days=A","Dts=H","cols=1;rows=240")</f>
        <v>#N/A N/A</v>
      </c>
      <c r="AS9" s="69">
        <f>_xll.BDH(AS$7,AS$8,AS5,AS6,"Dir=V","Per=M","Days=A","Dts=H","cols=1;rows=240")</f>
        <v>2.8</v>
      </c>
      <c r="AT9" s="69" t="str">
        <f>_xll.BDH(AT$7,AT$8,AT5,AT6,"Dir=V","Per=M","Days=A","Dts=H","cols=1;rows=240")</f>
        <v>#N/A N/A</v>
      </c>
      <c r="AU9" s="69">
        <f>_xll.BDH(AU$7,AU$8,AU5,AU6,"Dir=V","Per=M","Days=A","Dts=H","cols=1;rows=240")</f>
        <v>2.2999999999999998</v>
      </c>
      <c r="AV9" s="69" t="str">
        <f>_xll.BDH(AV$7,AV$8,AV5,AV6,"Dir=V","Per=M","Days=A","Dts=H","cols=1;rows=240")</f>
        <v>#N/A N/A</v>
      </c>
      <c r="AW9" s="69">
        <f>_xll.BDH(AW$7,AW$8,AW5,AW6,"Dir=V","Per=M","Days=A","Dts=H","cols=1;rows=240")</f>
        <v>2.9</v>
      </c>
      <c r="AX9" s="69" t="str">
        <f>_xll.BDH(AX$7,AX$8,AX5,AX6,"Dir=V","Per=M","Days=A","Dts=H","cols=1;rows=240")</f>
        <v>#N/A N/A</v>
      </c>
      <c r="AY9" s="69">
        <f>_xll.BDH(AY$7,AY$8,AY5,AY6,"Dir=V","Per=M","Days=A","Dts=H","cols=1;rows=240")</f>
        <v>3.8</v>
      </c>
      <c r="AZ9" s="69" t="str">
        <f>_xll.BDH(AZ$7,AZ$8,AZ5,AZ6,"Dir=V","Per=M","Days=A","Dts=H","cols=1;rows=240")</f>
        <v>#N/A N/A</v>
      </c>
      <c r="BA9" s="69">
        <f>_xll.BDH(BA$7,BA$8,BA5,BA6,"Dir=V","Per=M","Days=A","Dts=H","cols=1;rows=240")</f>
        <v>4.7699999999999996</v>
      </c>
    </row>
    <row r="10" spans="2:53" x14ac:dyDescent="0.25">
      <c r="B10" t="s">
        <v>999</v>
      </c>
      <c r="E10" s="11">
        <v>1</v>
      </c>
      <c r="F10" s="11"/>
      <c r="G10" s="11">
        <v>1</v>
      </c>
      <c r="H10" s="11"/>
      <c r="I10" s="11">
        <v>1</v>
      </c>
      <c r="J10" s="11"/>
      <c r="K10" s="11">
        <v>1</v>
      </c>
      <c r="L10" s="11"/>
      <c r="M10" s="11">
        <v>1</v>
      </c>
      <c r="N10" s="11"/>
      <c r="O10" s="11">
        <v>1</v>
      </c>
      <c r="P10" s="11"/>
      <c r="Q10" s="11">
        <v>1</v>
      </c>
      <c r="R10" s="11"/>
      <c r="S10" s="11">
        <v>1</v>
      </c>
      <c r="T10" s="11"/>
      <c r="U10" s="11">
        <v>1</v>
      </c>
      <c r="V10" s="11"/>
      <c r="W10" s="11">
        <v>1</v>
      </c>
      <c r="AH10" s="69">
        <v>1</v>
      </c>
      <c r="AI10" s="69">
        <v>2.4</v>
      </c>
      <c r="AJ10" s="69">
        <v>4.9000000000000004</v>
      </c>
      <c r="AK10" s="69">
        <v>1.9</v>
      </c>
      <c r="AL10" s="69">
        <v>1</v>
      </c>
      <c r="AM10" s="69">
        <v>-0.8</v>
      </c>
      <c r="AN10" s="69">
        <v>8.6</v>
      </c>
      <c r="AO10" s="69">
        <v>1.4</v>
      </c>
      <c r="AP10" s="69">
        <v>2.2999999999999998</v>
      </c>
      <c r="AQ10" s="69">
        <v>2.9</v>
      </c>
      <c r="AR10" s="69">
        <v>1.6</v>
      </c>
      <c r="AS10" s="69">
        <v>2.5</v>
      </c>
      <c r="AT10" s="69">
        <v>2.2000000000000002</v>
      </c>
      <c r="AU10" s="69">
        <v>2.1</v>
      </c>
      <c r="AV10" s="69">
        <v>2.34</v>
      </c>
      <c r="AW10" s="69">
        <v>2.9</v>
      </c>
      <c r="AX10" s="69">
        <v>4</v>
      </c>
      <c r="AY10" s="69">
        <v>3.7</v>
      </c>
      <c r="AZ10" s="69">
        <v>2.8</v>
      </c>
      <c r="BA10" s="69">
        <v>4.53</v>
      </c>
    </row>
    <row r="11" spans="2:53" x14ac:dyDescent="0.25"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AH11" s="69">
        <v>1</v>
      </c>
      <c r="AI11" s="69">
        <v>2.4</v>
      </c>
      <c r="AJ11" s="69">
        <v>4.9000000000000004</v>
      </c>
      <c r="AK11" s="69">
        <v>1.6</v>
      </c>
      <c r="AL11" s="69">
        <v>1</v>
      </c>
      <c r="AM11" s="69">
        <v>-0.8</v>
      </c>
      <c r="AN11" s="69">
        <v>8.6</v>
      </c>
      <c r="AO11" s="69">
        <v>1.5</v>
      </c>
      <c r="AP11" s="69">
        <v>2.2999999999999998</v>
      </c>
      <c r="AQ11" s="69">
        <v>2.5</v>
      </c>
      <c r="AR11" s="69">
        <v>1.6</v>
      </c>
      <c r="AS11" s="69">
        <v>2.1</v>
      </c>
      <c r="AT11" s="69">
        <v>2.2000000000000002</v>
      </c>
      <c r="AU11" s="69">
        <v>2</v>
      </c>
      <c r="AV11" s="69">
        <v>2.34</v>
      </c>
      <c r="AW11" s="69">
        <v>2.6</v>
      </c>
      <c r="AX11" s="69">
        <v>4</v>
      </c>
      <c r="AY11" s="69">
        <v>2.4</v>
      </c>
      <c r="AZ11" s="69">
        <v>2.8</v>
      </c>
      <c r="BA11" s="69">
        <v>4.3</v>
      </c>
    </row>
    <row r="12" spans="2:53" x14ac:dyDescent="0.25">
      <c r="B12" t="s">
        <v>1000</v>
      </c>
      <c r="E12" s="11">
        <v>2</v>
      </c>
      <c r="F12" s="11"/>
      <c r="G12" s="11">
        <v>2</v>
      </c>
      <c r="H12" s="11"/>
      <c r="I12" s="11">
        <v>2</v>
      </c>
      <c r="J12" s="11"/>
      <c r="K12" s="11">
        <v>3</v>
      </c>
      <c r="L12" s="11"/>
      <c r="M12" s="11">
        <v>2</v>
      </c>
      <c r="N12" s="11"/>
      <c r="O12" s="11">
        <v>2</v>
      </c>
      <c r="P12" s="11"/>
      <c r="Q12" s="11">
        <v>2</v>
      </c>
      <c r="R12" s="11"/>
      <c r="S12" s="11">
        <v>2</v>
      </c>
      <c r="T12" s="11"/>
      <c r="U12" s="11">
        <v>2</v>
      </c>
      <c r="V12" s="11"/>
      <c r="W12" s="11">
        <v>2</v>
      </c>
      <c r="AH12" s="69">
        <v>1</v>
      </c>
      <c r="AI12" s="69">
        <v>2.4</v>
      </c>
      <c r="AJ12" s="69">
        <v>4.9000000000000004</v>
      </c>
      <c r="AK12" s="69">
        <v>2.1</v>
      </c>
      <c r="AL12" s="69">
        <v>1</v>
      </c>
      <c r="AM12" s="69">
        <v>-0.7</v>
      </c>
      <c r="AN12" s="69">
        <v>8.6</v>
      </c>
      <c r="AO12" s="69">
        <v>1</v>
      </c>
      <c r="AP12" s="69">
        <v>2.2999999999999998</v>
      </c>
      <c r="AQ12" s="69">
        <v>2.2999999999999998</v>
      </c>
      <c r="AR12" s="69">
        <v>1.6</v>
      </c>
      <c r="AS12" s="69">
        <v>2.1</v>
      </c>
      <c r="AT12" s="69">
        <v>2.2000000000000002</v>
      </c>
      <c r="AU12" s="69">
        <v>1.8</v>
      </c>
      <c r="AV12" s="69">
        <v>2.34</v>
      </c>
      <c r="AW12" s="69">
        <v>2.6</v>
      </c>
      <c r="AX12" s="69">
        <v>4</v>
      </c>
      <c r="AY12" s="69">
        <v>2.1</v>
      </c>
      <c r="AZ12" s="69">
        <v>2.8</v>
      </c>
      <c r="BA12" s="69">
        <v>4.0599999999999996</v>
      </c>
    </row>
    <row r="13" spans="2:53" x14ac:dyDescent="0.25"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AH13" s="69">
        <v>0.5</v>
      </c>
      <c r="AI13" s="69">
        <v>2.2000000000000002</v>
      </c>
      <c r="AJ13" s="69">
        <v>3.7</v>
      </c>
      <c r="AK13" s="69">
        <v>1.7</v>
      </c>
      <c r="AL13" s="69">
        <v>-0.2</v>
      </c>
      <c r="AM13" s="69">
        <v>-0.8</v>
      </c>
      <c r="AN13" s="69">
        <v>8</v>
      </c>
      <c r="AO13" s="69">
        <v>-0.1</v>
      </c>
      <c r="AP13" s="69">
        <v>1.9</v>
      </c>
      <c r="AQ13" s="69">
        <v>2.2000000000000002</v>
      </c>
      <c r="AR13" s="69">
        <v>1.4</v>
      </c>
      <c r="AS13" s="69">
        <v>1.9</v>
      </c>
      <c r="AT13" s="69">
        <v>1.8</v>
      </c>
      <c r="AU13" s="69">
        <v>1.5</v>
      </c>
      <c r="AV13" s="69">
        <v>1.4259999999999999</v>
      </c>
      <c r="AW13" s="69">
        <v>2.5</v>
      </c>
      <c r="AX13" s="69">
        <v>3.8</v>
      </c>
      <c r="AY13" s="69">
        <v>2.2999999999999998</v>
      </c>
      <c r="AZ13" s="69">
        <v>1.5</v>
      </c>
      <c r="BA13" s="69">
        <v>4.12</v>
      </c>
    </row>
    <row r="14" spans="2:53" x14ac:dyDescent="0.25">
      <c r="B14" t="s">
        <v>908</v>
      </c>
      <c r="E14" s="15">
        <f>+AH3</f>
        <v>-0.70416666666666627</v>
      </c>
      <c r="F14" s="11"/>
      <c r="G14" s="15">
        <f>+AJ3</f>
        <v>-0.22916666666666696</v>
      </c>
      <c r="H14" s="11"/>
      <c r="I14" s="15">
        <f>+AL3</f>
        <v>-2.5166666666666662</v>
      </c>
      <c r="J14" s="11"/>
      <c r="K14" s="15">
        <f>+AN3</f>
        <v>4.9249999999999998</v>
      </c>
      <c r="L14" s="11"/>
      <c r="M14" s="15">
        <f>+AP3</f>
        <v>-2.6958333333333329</v>
      </c>
      <c r="N14" s="11"/>
      <c r="O14" s="15">
        <f>+AR3</f>
        <v>-2.15</v>
      </c>
      <c r="P14" s="11"/>
      <c r="Q14" s="15">
        <f>+AT3</f>
        <v>-3.1208333333333331</v>
      </c>
      <c r="R14" s="11"/>
      <c r="S14" s="15">
        <f>+AV3</f>
        <v>-4.3356249999999994</v>
      </c>
      <c r="T14" s="11"/>
      <c r="U14" s="15">
        <f>+AX3</f>
        <v>-4.9624999999999995</v>
      </c>
      <c r="V14" s="11"/>
      <c r="W14" s="15">
        <f>+AZ3</f>
        <v>-3.5374999999999992</v>
      </c>
      <c r="AH14" s="11">
        <v>0.5</v>
      </c>
      <c r="AI14" s="11">
        <v>2.2000000000000002</v>
      </c>
      <c r="AJ14" s="11">
        <v>3.7</v>
      </c>
      <c r="AK14" s="11">
        <v>1.6</v>
      </c>
      <c r="AL14" s="11">
        <v>-0.2</v>
      </c>
      <c r="AM14" s="11">
        <v>-0.8</v>
      </c>
      <c r="AN14" s="11">
        <v>8</v>
      </c>
      <c r="AO14" s="11">
        <v>0.2</v>
      </c>
      <c r="AP14" s="11">
        <v>1.9</v>
      </c>
      <c r="AQ14" s="11">
        <v>2.2000000000000002</v>
      </c>
      <c r="AR14" s="11">
        <v>1.4</v>
      </c>
      <c r="AS14" s="11">
        <v>1.9</v>
      </c>
      <c r="AT14" s="11">
        <v>1.8</v>
      </c>
      <c r="AU14" s="11">
        <v>1.7</v>
      </c>
      <c r="AV14" s="11">
        <v>1.4259999999999999</v>
      </c>
      <c r="AW14" s="11">
        <v>2.5</v>
      </c>
      <c r="AX14" s="11">
        <v>3.8</v>
      </c>
      <c r="AY14" s="11">
        <v>2.5</v>
      </c>
      <c r="AZ14" s="11">
        <v>1.5</v>
      </c>
      <c r="BA14" s="11">
        <v>4.09</v>
      </c>
    </row>
    <row r="15" spans="2:53" x14ac:dyDescent="0.25"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AH15" s="11">
        <v>0.5</v>
      </c>
      <c r="AI15" s="11">
        <v>2.2000000000000002</v>
      </c>
      <c r="AJ15" s="11">
        <v>3.7</v>
      </c>
      <c r="AK15" s="11">
        <v>0.9</v>
      </c>
      <c r="AL15" s="11">
        <v>-0.2</v>
      </c>
      <c r="AM15" s="11">
        <v>-1</v>
      </c>
      <c r="AN15" s="11">
        <v>8</v>
      </c>
      <c r="AO15" s="11">
        <v>-0.3</v>
      </c>
      <c r="AP15" s="11">
        <v>1.9</v>
      </c>
      <c r="AQ15" s="11">
        <v>2</v>
      </c>
      <c r="AR15" s="11">
        <v>1.4</v>
      </c>
      <c r="AS15" s="11">
        <v>1.5</v>
      </c>
      <c r="AT15" s="11">
        <v>1.8</v>
      </c>
      <c r="AU15" s="11">
        <v>1.2</v>
      </c>
      <c r="AV15" s="11">
        <v>1.4259999999999999</v>
      </c>
      <c r="AW15" s="11">
        <v>2.2999999999999998</v>
      </c>
      <c r="AX15" s="11">
        <v>3.8</v>
      </c>
      <c r="AY15" s="11">
        <v>2.5</v>
      </c>
      <c r="AZ15" s="11">
        <v>1.5</v>
      </c>
      <c r="BA15" s="11">
        <v>3.96</v>
      </c>
    </row>
    <row r="16" spans="2:53" x14ac:dyDescent="0.25">
      <c r="B16" t="s">
        <v>905</v>
      </c>
      <c r="E16" s="15">
        <f>+AH4</f>
        <v>1.693723849372387</v>
      </c>
      <c r="F16" s="15"/>
      <c r="G16" s="15">
        <f>+AJ4</f>
        <v>3.447698744769871</v>
      </c>
      <c r="H16" s="15"/>
      <c r="I16" s="15">
        <f>+AL4</f>
        <v>0.44058577405857824</v>
      </c>
      <c r="J16" s="15"/>
      <c r="K16" s="15">
        <f>+AN4</f>
        <v>6.9374999999999938</v>
      </c>
      <c r="L16" s="11"/>
      <c r="M16" s="15">
        <f>+AP4</f>
        <v>0.81966527196652728</v>
      </c>
      <c r="N16" s="15"/>
      <c r="O16" s="15">
        <f>+AR4</f>
        <v>0.94644351464435117</v>
      </c>
      <c r="P16" s="11"/>
      <c r="Q16" s="15">
        <f>+AT4</f>
        <v>0.82259414225941363</v>
      </c>
      <c r="R16" s="15"/>
      <c r="S16" s="15">
        <f>+AV4</f>
        <v>-0.28380753138075282</v>
      </c>
      <c r="T16" s="11"/>
      <c r="U16" s="15">
        <f>+AX4</f>
        <v>0.95857740585774143</v>
      </c>
      <c r="V16" s="15"/>
      <c r="W16" s="15">
        <f>+AZ4</f>
        <v>0.24435146443514624</v>
      </c>
      <c r="AH16" s="11">
        <v>0.2</v>
      </c>
      <c r="AI16" s="11">
        <v>2</v>
      </c>
      <c r="AJ16" s="11">
        <v>4.3</v>
      </c>
      <c r="AK16" s="11">
        <v>0.7</v>
      </c>
      <c r="AL16" s="11">
        <v>-1.7</v>
      </c>
      <c r="AM16" s="11">
        <v>-1.2</v>
      </c>
      <c r="AN16" s="11">
        <v>7.5</v>
      </c>
      <c r="AO16" s="11">
        <v>-0.3</v>
      </c>
      <c r="AP16" s="11">
        <v>1.3</v>
      </c>
      <c r="AQ16" s="11">
        <v>2.1</v>
      </c>
      <c r="AR16" s="11">
        <v>1.6</v>
      </c>
      <c r="AS16" s="11">
        <v>1.7</v>
      </c>
      <c r="AT16" s="11">
        <v>1</v>
      </c>
      <c r="AU16" s="11">
        <v>1.4</v>
      </c>
      <c r="AV16" s="11">
        <v>-0.19500000000000001</v>
      </c>
      <c r="AW16" s="11">
        <v>2.2999999999999998</v>
      </c>
      <c r="AX16" s="11">
        <v>3.5</v>
      </c>
      <c r="AY16" s="11">
        <v>2.5</v>
      </c>
      <c r="AZ16" s="11">
        <v>2.2000000000000002</v>
      </c>
      <c r="BA16" s="11">
        <v>3.78</v>
      </c>
    </row>
    <row r="17" spans="2:53" x14ac:dyDescent="0.25"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AH17" s="11">
        <v>0.2</v>
      </c>
      <c r="AI17" s="11">
        <v>2</v>
      </c>
      <c r="AJ17" s="11">
        <v>4.3</v>
      </c>
      <c r="AK17" s="11">
        <v>1.3</v>
      </c>
      <c r="AL17" s="11">
        <v>-1.7</v>
      </c>
      <c r="AM17" s="11">
        <v>-1.4</v>
      </c>
      <c r="AN17" s="11">
        <v>7.5</v>
      </c>
      <c r="AO17" s="11">
        <v>-1</v>
      </c>
      <c r="AP17" s="11">
        <v>1.3</v>
      </c>
      <c r="AQ17" s="11">
        <v>2.6</v>
      </c>
      <c r="AR17" s="11">
        <v>1.6</v>
      </c>
      <c r="AS17" s="11">
        <v>2</v>
      </c>
      <c r="AT17" s="11">
        <v>1</v>
      </c>
      <c r="AU17" s="11">
        <v>2.2999999999999998</v>
      </c>
      <c r="AV17" s="11">
        <v>-0.19500000000000001</v>
      </c>
      <c r="AW17" s="11">
        <v>2.2999999999999998</v>
      </c>
      <c r="AX17" s="11">
        <v>3.5</v>
      </c>
      <c r="AY17" s="11">
        <v>3.1</v>
      </c>
      <c r="AZ17" s="11">
        <v>2.2000000000000002</v>
      </c>
      <c r="BA17" s="11">
        <v>3.57</v>
      </c>
    </row>
    <row r="18" spans="2:53" x14ac:dyDescent="0.25">
      <c r="B18" s="31" t="s">
        <v>156</v>
      </c>
      <c r="C18" s="31"/>
      <c r="D18" s="31"/>
      <c r="E18" s="16">
        <f>+E8+E10+0.5*(E8-E12)+0.5*(E14-E16)</f>
        <v>1.0010547419804736</v>
      </c>
      <c r="F18" s="25"/>
      <c r="G18" s="16">
        <f>+G8+G10+0.5*(G8-G12)+0.5*(G14-G16)</f>
        <v>0.99906729428173091</v>
      </c>
      <c r="H18" s="16"/>
      <c r="I18" s="16">
        <f>+I8+I10+0.5*(I8-I12)+0.5*(I14-I16)</f>
        <v>-1.4161262203626224</v>
      </c>
      <c r="J18" s="16"/>
      <c r="K18" s="16">
        <f>+K8+K10+0.5*(K8-K12)+0.5*(K14-K16)</f>
        <v>2.1000000000000032</v>
      </c>
      <c r="L18" s="16"/>
      <c r="M18" s="16">
        <f>+M8+M10+0.5*(M8-M12)+0.5*(M14-M16)</f>
        <v>-0.75774930264993023</v>
      </c>
      <c r="N18" s="16"/>
      <c r="O18" s="16">
        <f>+O8+O10+0.5*(O8-O12)+0.5*(O14-O16)</f>
        <v>-0.10447175732217562</v>
      </c>
      <c r="P18" s="16"/>
      <c r="Q18" s="16">
        <f>+Q8+Q10+0.5*(Q8-Q12)+0.5*(Q14-Q16)</f>
        <v>-0.87171373779637329</v>
      </c>
      <c r="R18" s="16"/>
      <c r="S18" s="16">
        <f>+S8+S10+0.5*(S8-S12)+0.5*(S14-S16)</f>
        <v>-1.8821587343096229</v>
      </c>
      <c r="T18" s="16"/>
      <c r="U18" s="16">
        <f>+U8+U10+0.5*(U8-U12)+0.5*(U14-U16)</f>
        <v>-2.7292887029288702</v>
      </c>
      <c r="V18" s="16"/>
      <c r="W18" s="16">
        <f>+W8+W10+0.5*(W8-W12)+0.5*(W14-W16)</f>
        <v>-1.7209257322175728</v>
      </c>
      <c r="AH18" s="11">
        <v>0.2</v>
      </c>
      <c r="AI18" s="11">
        <v>2</v>
      </c>
      <c r="AJ18" s="11">
        <v>4.3</v>
      </c>
      <c r="AK18" s="11">
        <v>1</v>
      </c>
      <c r="AL18" s="11">
        <v>-1.7</v>
      </c>
      <c r="AM18" s="11">
        <v>-1.6</v>
      </c>
      <c r="AN18" s="11">
        <v>7.5</v>
      </c>
      <c r="AO18" s="11">
        <v>0</v>
      </c>
      <c r="AP18" s="11">
        <v>1.3</v>
      </c>
      <c r="AQ18" s="11">
        <v>2.5</v>
      </c>
      <c r="AR18" s="11">
        <v>1.6</v>
      </c>
      <c r="AS18" s="11">
        <v>1.9</v>
      </c>
      <c r="AT18" s="11">
        <v>1</v>
      </c>
      <c r="AU18" s="11">
        <v>2.1</v>
      </c>
      <c r="AV18" s="11">
        <v>-0.19500000000000001</v>
      </c>
      <c r="AW18" s="11">
        <v>2.2999999999999998</v>
      </c>
      <c r="AX18" s="11">
        <v>3.5</v>
      </c>
      <c r="AY18" s="11">
        <v>3.2</v>
      </c>
      <c r="AZ18" s="11">
        <v>2.2000000000000002</v>
      </c>
      <c r="BA18" s="11">
        <v>3.26</v>
      </c>
    </row>
    <row r="19" spans="2:53" x14ac:dyDescent="0.25">
      <c r="D19" t="s">
        <v>904</v>
      </c>
      <c r="E19" s="15">
        <f>+'eco data'!D11</f>
        <v>1.13629</v>
      </c>
      <c r="G19" s="15">
        <f>+'eco data'!D50</f>
        <v>1.1537999999999999</v>
      </c>
      <c r="H19" s="15"/>
      <c r="I19" s="15">
        <f>+'eco data'!D37</f>
        <v>-1.754E-2</v>
      </c>
      <c r="J19" s="15"/>
      <c r="K19" s="15">
        <f>+'eco data'!V24</f>
        <v>2.3050000000000002</v>
      </c>
      <c r="L19" s="15"/>
      <c r="M19" s="15">
        <f>+'eco data'!D24</f>
        <v>-0.46300000000000002</v>
      </c>
      <c r="N19" s="15"/>
      <c r="O19" s="15">
        <f>+'eco data'!V11</f>
        <v>6.2140000000000001E-2</v>
      </c>
      <c r="P19" s="15"/>
      <c r="Q19" s="15">
        <f>+'eco data'!M50</f>
        <v>6.2140000000000001E-2</v>
      </c>
      <c r="R19" s="15"/>
      <c r="S19" s="15">
        <f>+'eco data'!M37</f>
        <v>6.2859999999999999E-2</v>
      </c>
      <c r="T19" s="15"/>
      <c r="U19" s="15">
        <f>+'eco data'!M24</f>
        <v>6.2859999999999999E-2</v>
      </c>
      <c r="V19" s="15"/>
      <c r="W19" s="15">
        <f>+'eco data'!M11</f>
        <v>0.28999999999999998</v>
      </c>
      <c r="AC19" s="28"/>
      <c r="AH19" s="11">
        <v>1.3</v>
      </c>
      <c r="AI19" s="11">
        <v>1.6</v>
      </c>
      <c r="AJ19" s="11">
        <v>4.0999999999999996</v>
      </c>
      <c r="AK19" s="11">
        <v>1.3</v>
      </c>
      <c r="AL19" s="11">
        <v>-1.9</v>
      </c>
      <c r="AM19" s="11">
        <v>-1.2</v>
      </c>
      <c r="AN19" s="11">
        <v>8.9</v>
      </c>
      <c r="AO19" s="11">
        <v>-0.8</v>
      </c>
      <c r="AP19" s="11">
        <v>0.4</v>
      </c>
      <c r="AQ19" s="11">
        <v>2.5</v>
      </c>
      <c r="AR19" s="11">
        <v>-1.7</v>
      </c>
      <c r="AS19" s="11">
        <v>2.1</v>
      </c>
      <c r="AT19" s="11">
        <v>0.9</v>
      </c>
      <c r="AU19" s="11">
        <v>2.1</v>
      </c>
      <c r="AV19" s="11">
        <v>-0.745</v>
      </c>
      <c r="AW19" s="11">
        <v>2.4</v>
      </c>
      <c r="AX19" s="11">
        <v>2.8</v>
      </c>
      <c r="AY19" s="11">
        <v>3.2</v>
      </c>
      <c r="AZ19" s="11">
        <v>2.7</v>
      </c>
      <c r="BA19" s="11">
        <v>3.26</v>
      </c>
    </row>
    <row r="20" spans="2:53" x14ac:dyDescent="0.25">
      <c r="D20" t="s">
        <v>157</v>
      </c>
      <c r="E20" s="15">
        <f>+E19-E18</f>
        <v>0.13523525801952641</v>
      </c>
      <c r="F20" s="15"/>
      <c r="G20" s="15">
        <f>+G19-G18</f>
        <v>0.15473270571826903</v>
      </c>
      <c r="H20" s="15"/>
      <c r="I20" s="15">
        <f>+I19-I18</f>
        <v>1.3985862203626223</v>
      </c>
      <c r="J20" s="15"/>
      <c r="K20" s="15">
        <f>+K19-K18</f>
        <v>0.20499999999999696</v>
      </c>
      <c r="L20" s="15"/>
      <c r="M20" s="15">
        <f>+M19-M18</f>
        <v>0.29474930264993021</v>
      </c>
      <c r="N20" s="15"/>
      <c r="O20" s="15">
        <f>+O19-O18</f>
        <v>0.16661175732217562</v>
      </c>
      <c r="P20" s="15"/>
      <c r="Q20" s="15">
        <f>+Q19-Q18</f>
        <v>0.93385373779637326</v>
      </c>
      <c r="R20" s="15"/>
      <c r="S20" s="15">
        <f>+S19-S18</f>
        <v>1.9450187343096228</v>
      </c>
      <c r="T20" s="15"/>
      <c r="U20" s="15">
        <f>+U19-U18</f>
        <v>2.7921487029288703</v>
      </c>
      <c r="V20" s="15"/>
      <c r="W20" s="15">
        <f>+W19-W18</f>
        <v>2.0109257322175726</v>
      </c>
      <c r="AC20" s="28">
        <f>+MIN(E20:W20)</f>
        <v>0.13523525801952641</v>
      </c>
      <c r="AD20" s="28">
        <f>+MAX(B20:W20)</f>
        <v>2.7921487029288703</v>
      </c>
      <c r="AH20" s="11">
        <v>1.3</v>
      </c>
      <c r="AI20" s="11">
        <v>1.6</v>
      </c>
      <c r="AJ20" s="11">
        <v>4.0999999999999996</v>
      </c>
      <c r="AK20" s="11">
        <v>1.5</v>
      </c>
      <c r="AL20" s="11">
        <v>-1.9</v>
      </c>
      <c r="AM20" s="11">
        <v>-1.1000000000000001</v>
      </c>
      <c r="AN20" s="11">
        <v>8.9</v>
      </c>
      <c r="AO20" s="11">
        <v>-1.3</v>
      </c>
      <c r="AP20" s="11">
        <v>0.4</v>
      </c>
      <c r="AQ20" s="11">
        <v>2.4</v>
      </c>
      <c r="AR20" s="11">
        <v>-1.7</v>
      </c>
      <c r="AS20" s="11">
        <v>1.5</v>
      </c>
      <c r="AT20" s="11">
        <v>0.9</v>
      </c>
      <c r="AU20" s="11">
        <v>2</v>
      </c>
      <c r="AV20" s="11">
        <v>-0.745</v>
      </c>
      <c r="AW20" s="11">
        <v>2.2999999999999998</v>
      </c>
      <c r="AX20" s="11">
        <v>2.8</v>
      </c>
      <c r="AY20" s="11">
        <v>3.7</v>
      </c>
      <c r="AZ20" s="11">
        <v>2.7</v>
      </c>
      <c r="BA20" s="11">
        <v>3.51</v>
      </c>
    </row>
    <row r="21" spans="2:53" x14ac:dyDescent="0.25">
      <c r="AH21" s="11">
        <v>1.3</v>
      </c>
      <c r="AI21" s="11">
        <v>1.6</v>
      </c>
      <c r="AJ21" s="11">
        <v>4.0999999999999996</v>
      </c>
      <c r="AK21" s="11">
        <v>1.1000000000000001</v>
      </c>
      <c r="AL21" s="11">
        <v>-1.9</v>
      </c>
      <c r="AM21" s="11">
        <v>-0.9</v>
      </c>
      <c r="AN21" s="11">
        <v>8.9</v>
      </c>
      <c r="AO21" s="11">
        <v>-1.1000000000000001</v>
      </c>
      <c r="AP21" s="11">
        <v>0.4</v>
      </c>
      <c r="AQ21" s="11">
        <v>2.1</v>
      </c>
      <c r="AR21" s="11">
        <v>-1.7</v>
      </c>
      <c r="AS21" s="11">
        <v>1.2</v>
      </c>
      <c r="AT21" s="11">
        <v>0.9</v>
      </c>
      <c r="AU21" s="11">
        <v>1.5</v>
      </c>
      <c r="AV21" s="11">
        <v>-0.745</v>
      </c>
      <c r="AW21" s="11">
        <v>2.2999999999999998</v>
      </c>
      <c r="AX21" s="11">
        <v>2.8</v>
      </c>
      <c r="AY21" s="11">
        <v>3.7</v>
      </c>
      <c r="AZ21" s="11">
        <v>2.7</v>
      </c>
      <c r="BA21" s="11">
        <v>3.33</v>
      </c>
    </row>
    <row r="22" spans="2:53" x14ac:dyDescent="0.25">
      <c r="AH22" s="11">
        <v>1.3</v>
      </c>
      <c r="AI22" s="11">
        <v>1.4</v>
      </c>
      <c r="AJ22" s="11">
        <v>3.1</v>
      </c>
      <c r="AK22" s="11">
        <v>1</v>
      </c>
      <c r="AL22" s="11">
        <v>-0.3</v>
      </c>
      <c r="AM22" s="11">
        <v>-0.7</v>
      </c>
      <c r="AN22" s="11">
        <v>8.8000000000000007</v>
      </c>
      <c r="AO22" s="11">
        <v>-0.8</v>
      </c>
      <c r="AP22" s="11">
        <v>0.9</v>
      </c>
      <c r="AQ22" s="11">
        <v>1.9</v>
      </c>
      <c r="AR22" s="11">
        <v>0</v>
      </c>
      <c r="AS22" s="11">
        <v>1.1000000000000001</v>
      </c>
      <c r="AT22" s="11">
        <v>1.1000000000000001</v>
      </c>
      <c r="AU22" s="11">
        <v>1.4</v>
      </c>
      <c r="AV22" s="11">
        <v>5.6000000000000001E-2</v>
      </c>
      <c r="AW22" s="11">
        <v>2.2999999999999998</v>
      </c>
      <c r="AX22" s="11">
        <v>2.9</v>
      </c>
      <c r="AY22" s="11">
        <v>3.4</v>
      </c>
      <c r="AZ22" s="11">
        <v>1.3</v>
      </c>
      <c r="BA22" s="11">
        <v>3.39</v>
      </c>
    </row>
    <row r="23" spans="2:53" x14ac:dyDescent="0.25">
      <c r="B23" t="s">
        <v>916</v>
      </c>
      <c r="AH23" s="11">
        <v>1.3</v>
      </c>
      <c r="AI23" s="11">
        <v>1.4</v>
      </c>
      <c r="AJ23" s="11">
        <v>3.1</v>
      </c>
      <c r="AK23" s="11">
        <v>1.5</v>
      </c>
      <c r="AL23" s="11">
        <v>-0.3</v>
      </c>
      <c r="AM23" s="11">
        <v>-0.8</v>
      </c>
      <c r="AN23" s="11">
        <v>8.8000000000000007</v>
      </c>
      <c r="AO23" s="11">
        <v>-0.9</v>
      </c>
      <c r="AP23" s="11">
        <v>0.9</v>
      </c>
      <c r="AQ23" s="11">
        <v>2</v>
      </c>
      <c r="AR23" s="11">
        <v>0</v>
      </c>
      <c r="AS23" s="11">
        <v>1.1000000000000001</v>
      </c>
      <c r="AT23" s="11">
        <v>1.1000000000000001</v>
      </c>
      <c r="AU23" s="11">
        <v>1.6</v>
      </c>
      <c r="AV23" s="11">
        <v>5.6000000000000001E-2</v>
      </c>
      <c r="AW23" s="11">
        <v>2.2999999999999998</v>
      </c>
      <c r="AX23" s="11">
        <v>2.9</v>
      </c>
      <c r="AY23" s="11">
        <v>3.5</v>
      </c>
      <c r="AZ23" s="11">
        <v>1.3</v>
      </c>
      <c r="BA23" s="11">
        <v>3.45</v>
      </c>
    </row>
    <row r="24" spans="2:53" x14ac:dyDescent="0.25">
      <c r="B24" t="s">
        <v>914</v>
      </c>
      <c r="AH24" s="11">
        <v>1.3</v>
      </c>
      <c r="AI24" s="11">
        <v>1.4</v>
      </c>
      <c r="AJ24" s="11">
        <v>3.1</v>
      </c>
      <c r="AK24" s="11">
        <v>1.4</v>
      </c>
      <c r="AL24" s="11">
        <v>-0.3</v>
      </c>
      <c r="AM24" s="11">
        <v>-0.9</v>
      </c>
      <c r="AN24" s="11">
        <v>8.8000000000000007</v>
      </c>
      <c r="AO24" s="11">
        <v>-0.7</v>
      </c>
      <c r="AP24" s="11">
        <v>0.9</v>
      </c>
      <c r="AQ24" s="11">
        <v>2.1</v>
      </c>
      <c r="AR24" s="11">
        <v>0</v>
      </c>
      <c r="AS24" s="11">
        <v>1.2</v>
      </c>
      <c r="AT24" s="11">
        <v>1.1000000000000001</v>
      </c>
      <c r="AU24" s="11">
        <v>1.9</v>
      </c>
      <c r="AV24" s="11">
        <v>5.6000000000000001E-2</v>
      </c>
      <c r="AW24" s="11">
        <v>2.6</v>
      </c>
      <c r="AX24" s="11">
        <v>2.9</v>
      </c>
      <c r="AY24" s="11">
        <v>3.7</v>
      </c>
      <c r="AZ24" s="11">
        <v>1.3</v>
      </c>
      <c r="BA24" s="11">
        <v>3.73</v>
      </c>
    </row>
    <row r="25" spans="2:53" x14ac:dyDescent="0.25">
      <c r="B25" t="s">
        <v>907</v>
      </c>
      <c r="AH25" s="11">
        <v>2.1</v>
      </c>
      <c r="AI25" s="11">
        <v>1.5</v>
      </c>
      <c r="AJ25" s="11">
        <v>4.7</v>
      </c>
      <c r="AK25" s="11">
        <v>1.7</v>
      </c>
      <c r="AL25" s="11">
        <v>0.9</v>
      </c>
      <c r="AM25" s="11">
        <v>-0.7</v>
      </c>
      <c r="AN25" s="11">
        <v>9.6</v>
      </c>
      <c r="AO25" s="11">
        <v>-0.7</v>
      </c>
      <c r="AP25" s="11">
        <v>1.2</v>
      </c>
      <c r="AQ25" s="11">
        <v>2.1</v>
      </c>
      <c r="AR25" s="11">
        <v>0.8</v>
      </c>
      <c r="AS25" s="11">
        <v>1.2</v>
      </c>
      <c r="AT25" s="11">
        <v>1.3</v>
      </c>
      <c r="AU25" s="11">
        <v>1.8</v>
      </c>
      <c r="AV25" s="11">
        <v>0.57099999999999995</v>
      </c>
      <c r="AW25" s="11">
        <v>2.7</v>
      </c>
      <c r="AX25" s="11">
        <v>2.6</v>
      </c>
      <c r="AY25" s="11">
        <v>3.5</v>
      </c>
      <c r="AZ25" s="11">
        <v>0.6</v>
      </c>
      <c r="BA25" s="11">
        <v>3.7</v>
      </c>
    </row>
    <row r="26" spans="2:53" x14ac:dyDescent="0.25">
      <c r="AH26" s="11">
        <v>2.1</v>
      </c>
      <c r="AI26" s="11">
        <v>1.5</v>
      </c>
      <c r="AJ26" s="11">
        <v>4.7</v>
      </c>
      <c r="AK26" s="11">
        <v>2.1</v>
      </c>
      <c r="AL26" s="11">
        <v>0.9</v>
      </c>
      <c r="AM26" s="11">
        <v>-0.9</v>
      </c>
      <c r="AN26" s="11">
        <v>9.6</v>
      </c>
      <c r="AO26" s="11">
        <v>-0.8</v>
      </c>
      <c r="AP26" s="11">
        <v>1.2</v>
      </c>
      <c r="AQ26" s="11">
        <v>2.2999999999999998</v>
      </c>
      <c r="AR26" s="11">
        <v>0.8</v>
      </c>
      <c r="AS26" s="11">
        <v>1.2</v>
      </c>
      <c r="AT26" s="11">
        <v>1.3</v>
      </c>
      <c r="AU26" s="11">
        <v>1.9</v>
      </c>
      <c r="AV26" s="11">
        <v>0.57099999999999995</v>
      </c>
      <c r="AW26" s="11">
        <v>2.7</v>
      </c>
      <c r="AX26" s="11">
        <v>2.6</v>
      </c>
      <c r="AY26" s="11">
        <v>4</v>
      </c>
      <c r="AZ26" s="11">
        <v>0.6</v>
      </c>
      <c r="BA26" s="11">
        <v>3.97</v>
      </c>
    </row>
    <row r="27" spans="2:53" x14ac:dyDescent="0.25">
      <c r="B27" t="s">
        <v>906</v>
      </c>
      <c r="E27" s="15">
        <f>+AI4</f>
        <v>1.8945606694560684</v>
      </c>
      <c r="F27" s="11"/>
      <c r="G27" s="15">
        <f>+AK4</f>
        <v>2.7537500000000015</v>
      </c>
      <c r="H27" s="11"/>
      <c r="I27" s="15">
        <f>+AM4</f>
        <v>0.13791666666666677</v>
      </c>
      <c r="J27" s="11"/>
      <c r="K27" s="15">
        <f>+AO4</f>
        <v>2.3583333333333338</v>
      </c>
      <c r="L27" s="11"/>
      <c r="M27" s="15">
        <f>+AQ4</f>
        <v>1.6166666666666651</v>
      </c>
      <c r="N27" s="11"/>
      <c r="O27" s="15">
        <f>+AS4</f>
        <v>1.4091666666666662</v>
      </c>
      <c r="P27" s="11"/>
      <c r="Q27" s="15">
        <f>+AU4</f>
        <v>1.3566666666666662</v>
      </c>
      <c r="R27" s="11"/>
      <c r="S27" s="15">
        <f>+AW4</f>
        <v>1.452499999999999</v>
      </c>
      <c r="T27" s="11"/>
      <c r="U27" s="15">
        <f>+AY4</f>
        <v>1.8808333333333336</v>
      </c>
      <c r="V27" s="11"/>
      <c r="W27" s="15">
        <f>+BA4</f>
        <v>1.6681249999999994</v>
      </c>
      <c r="AH27" s="11">
        <v>2.1</v>
      </c>
      <c r="AI27" s="11">
        <v>1.5</v>
      </c>
      <c r="AJ27" s="11">
        <v>4.7</v>
      </c>
      <c r="AK27" s="11">
        <v>2.6</v>
      </c>
      <c r="AL27" s="11">
        <v>0.9</v>
      </c>
      <c r="AM27" s="11">
        <v>-0.4</v>
      </c>
      <c r="AN27" s="11">
        <v>9.6</v>
      </c>
      <c r="AO27" s="11">
        <v>-0.7</v>
      </c>
      <c r="AP27" s="11">
        <v>1.2</v>
      </c>
      <c r="AQ27" s="11">
        <v>2.2999999999999998</v>
      </c>
      <c r="AR27" s="11">
        <v>0.8</v>
      </c>
      <c r="AS27" s="11">
        <v>1.1000000000000001</v>
      </c>
      <c r="AT27" s="11">
        <v>1.3</v>
      </c>
      <c r="AU27" s="11">
        <v>2.2000000000000002</v>
      </c>
      <c r="AV27" s="11">
        <v>0.57099999999999995</v>
      </c>
      <c r="AW27" s="11">
        <v>2.8</v>
      </c>
      <c r="AX27" s="11">
        <v>2.6</v>
      </c>
      <c r="AY27" s="11">
        <v>3.9</v>
      </c>
      <c r="AZ27" s="11">
        <v>0.6</v>
      </c>
      <c r="BA27" s="11">
        <v>4.03</v>
      </c>
    </row>
    <row r="28" spans="2:53" x14ac:dyDescent="0.25"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AH28" s="11">
        <v>2</v>
      </c>
      <c r="AI28" s="11">
        <v>1.7</v>
      </c>
      <c r="AJ28" s="11">
        <v>5.3</v>
      </c>
      <c r="AK28" s="11">
        <v>2.9</v>
      </c>
      <c r="AL28" s="11">
        <v>1.4</v>
      </c>
      <c r="AM28" s="11">
        <v>-0.3</v>
      </c>
      <c r="AN28" s="11">
        <v>9.1</v>
      </c>
      <c r="AO28" s="11">
        <v>-0.4</v>
      </c>
      <c r="AP28" s="11">
        <v>1.2</v>
      </c>
      <c r="AQ28" s="11">
        <v>2.2999999999999998</v>
      </c>
      <c r="AR28" s="11">
        <v>0</v>
      </c>
      <c r="AS28" s="11">
        <v>1.1000000000000001</v>
      </c>
      <c r="AT28" s="11">
        <v>1.2</v>
      </c>
      <c r="AU28" s="11">
        <v>2.2999999999999998</v>
      </c>
      <c r="AV28" s="11">
        <v>1.125</v>
      </c>
      <c r="AW28" s="11">
        <v>2.7</v>
      </c>
      <c r="AX28" s="11">
        <v>2.6</v>
      </c>
      <c r="AY28" s="11">
        <v>4</v>
      </c>
      <c r="AZ28" s="11">
        <v>-1.5</v>
      </c>
      <c r="BA28" s="11">
        <v>3.97</v>
      </c>
    </row>
    <row r="29" spans="2:53" x14ac:dyDescent="0.25">
      <c r="B29" t="s">
        <v>905</v>
      </c>
      <c r="E29" s="15">
        <f>+AH4</f>
        <v>1.693723849372387</v>
      </c>
      <c r="F29" s="15"/>
      <c r="G29" s="15">
        <f>+AJ4</f>
        <v>3.447698744769871</v>
      </c>
      <c r="H29" s="15"/>
      <c r="I29" s="15">
        <f>+AL4</f>
        <v>0.44058577405857824</v>
      </c>
      <c r="J29" s="15"/>
      <c r="K29" s="15">
        <f>+AN4</f>
        <v>6.9374999999999938</v>
      </c>
      <c r="L29" s="15"/>
      <c r="M29" s="15">
        <f>+AP4</f>
        <v>0.81966527196652728</v>
      </c>
      <c r="N29" s="15"/>
      <c r="O29" s="15">
        <f>+AR4</f>
        <v>0.94644351464435117</v>
      </c>
      <c r="P29" s="15"/>
      <c r="Q29" s="15">
        <f>+AT4</f>
        <v>0.82259414225941363</v>
      </c>
      <c r="R29" s="15"/>
      <c r="S29" s="15">
        <f>+AV4</f>
        <v>-0.28380753138075282</v>
      </c>
      <c r="T29" s="15"/>
      <c r="U29" s="15">
        <f>+AX4</f>
        <v>0.95857740585774143</v>
      </c>
      <c r="V29" s="15"/>
      <c r="W29" s="15">
        <f>+AZ4</f>
        <v>0.24435146443514624</v>
      </c>
      <c r="AH29" s="11">
        <v>2</v>
      </c>
      <c r="AI29" s="11">
        <v>1.7</v>
      </c>
      <c r="AJ29" s="11">
        <v>5.3</v>
      </c>
      <c r="AK29" s="11">
        <v>2.9</v>
      </c>
      <c r="AL29" s="11">
        <v>1.4</v>
      </c>
      <c r="AM29" s="11">
        <v>-0.4</v>
      </c>
      <c r="AN29" s="11">
        <v>9.1</v>
      </c>
      <c r="AO29" s="11">
        <v>0.4</v>
      </c>
      <c r="AP29" s="11">
        <v>1.2</v>
      </c>
      <c r="AQ29" s="11">
        <v>2.1</v>
      </c>
      <c r="AR29" s="11">
        <v>0</v>
      </c>
      <c r="AS29" s="11">
        <v>1.1000000000000001</v>
      </c>
      <c r="AT29" s="11">
        <v>1.2</v>
      </c>
      <c r="AU29" s="11">
        <v>2</v>
      </c>
      <c r="AV29" s="11">
        <v>1.125</v>
      </c>
      <c r="AW29" s="11">
        <v>2.5</v>
      </c>
      <c r="AX29" s="11">
        <v>2.6</v>
      </c>
      <c r="AY29" s="11">
        <v>3.8</v>
      </c>
      <c r="AZ29" s="11">
        <v>-1.5</v>
      </c>
      <c r="BA29" s="11">
        <v>3.96</v>
      </c>
    </row>
    <row r="30" spans="2:53" x14ac:dyDescent="0.25"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AH30" s="11">
        <v>2</v>
      </c>
      <c r="AI30" s="11">
        <v>1.7</v>
      </c>
      <c r="AJ30" s="11">
        <v>5.3</v>
      </c>
      <c r="AK30" s="11">
        <v>3.2</v>
      </c>
      <c r="AL30" s="11">
        <v>1.4</v>
      </c>
      <c r="AM30" s="11">
        <v>-0.2</v>
      </c>
      <c r="AN30" s="11">
        <v>9.1</v>
      </c>
      <c r="AO30" s="11">
        <v>0.2</v>
      </c>
      <c r="AP30" s="11">
        <v>1.2</v>
      </c>
      <c r="AQ30" s="11">
        <v>2.4</v>
      </c>
      <c r="AR30" s="11">
        <v>0</v>
      </c>
      <c r="AS30" s="11">
        <v>1.3</v>
      </c>
      <c r="AT30" s="11">
        <v>1.2</v>
      </c>
      <c r="AU30" s="11">
        <v>2.6</v>
      </c>
      <c r="AV30" s="11">
        <v>1.125</v>
      </c>
      <c r="AW30" s="11">
        <v>2.5</v>
      </c>
      <c r="AX30" s="11">
        <v>2.6</v>
      </c>
      <c r="AY30" s="11">
        <v>3.9</v>
      </c>
      <c r="AZ30" s="11">
        <v>-1.5</v>
      </c>
      <c r="BA30" s="11">
        <v>4.12</v>
      </c>
    </row>
    <row r="31" spans="2:53" x14ac:dyDescent="0.25">
      <c r="B31" s="8" t="s">
        <v>917</v>
      </c>
      <c r="C31" s="11"/>
      <c r="D31" s="11"/>
      <c r="E31" s="15">
        <f>+E27+E29</f>
        <v>3.5882845188284556</v>
      </c>
      <c r="F31" s="11"/>
      <c r="G31" s="15">
        <f>+G27+G29</f>
        <v>6.2014487447698725</v>
      </c>
      <c r="H31" s="11"/>
      <c r="I31" s="15">
        <f>+I27+I29</f>
        <v>0.57850244072524504</v>
      </c>
      <c r="J31" s="11"/>
      <c r="K31" s="15">
        <f>+K27+K29</f>
        <v>9.2958333333333272</v>
      </c>
      <c r="L31" s="11"/>
      <c r="M31" s="15">
        <f>+M27+M29</f>
        <v>2.4363319386331925</v>
      </c>
      <c r="N31" s="11"/>
      <c r="O31" s="15">
        <f>+O27+O29</f>
        <v>2.3556101813110173</v>
      </c>
      <c r="P31" s="11"/>
      <c r="Q31" s="15">
        <f>+Q27+Q29</f>
        <v>2.1792608089260801</v>
      </c>
      <c r="R31" s="11"/>
      <c r="S31" s="15">
        <f>+S27+S29</f>
        <v>1.1686924686192461</v>
      </c>
      <c r="T31" s="11"/>
      <c r="U31" s="15">
        <f>+U27+U29</f>
        <v>2.839410739191075</v>
      </c>
      <c r="V31" s="11"/>
      <c r="W31" s="15">
        <f>+W27+W29</f>
        <v>1.9124764644351457</v>
      </c>
      <c r="AH31" s="11">
        <v>1.7</v>
      </c>
      <c r="AI31" s="11">
        <v>1.9</v>
      </c>
      <c r="AJ31" s="11">
        <v>5.9</v>
      </c>
      <c r="AK31" s="11">
        <v>3.1</v>
      </c>
      <c r="AL31" s="11">
        <v>1.6</v>
      </c>
      <c r="AM31" s="11">
        <v>-0.1</v>
      </c>
      <c r="AN31" s="11">
        <v>11.1</v>
      </c>
      <c r="AO31" s="11">
        <v>0.9</v>
      </c>
      <c r="AP31" s="11">
        <v>0.8</v>
      </c>
      <c r="AQ31" s="11">
        <v>2.4</v>
      </c>
      <c r="AR31" s="11">
        <v>-0.5</v>
      </c>
      <c r="AS31" s="11">
        <v>1.1000000000000001</v>
      </c>
      <c r="AT31" s="11">
        <v>1</v>
      </c>
      <c r="AU31" s="11">
        <v>2.5</v>
      </c>
      <c r="AV31" s="11">
        <v>0.66300000000000003</v>
      </c>
      <c r="AW31" s="11">
        <v>2.5</v>
      </c>
      <c r="AX31" s="11">
        <v>3.2</v>
      </c>
      <c r="AY31" s="11">
        <v>3.7</v>
      </c>
      <c r="AZ31" s="11">
        <v>-1.6</v>
      </c>
      <c r="BA31" s="11">
        <v>3.75</v>
      </c>
    </row>
    <row r="32" spans="2:53" x14ac:dyDescent="0.25">
      <c r="AC32" s="28">
        <f ca="1">+MIN(E35:W35)</f>
        <v>-2.9604166666666636</v>
      </c>
      <c r="AD32" s="28">
        <f ca="1">+MAX(B35:W35)</f>
        <v>2.0281487656903767</v>
      </c>
      <c r="AH32" s="11">
        <v>1.7</v>
      </c>
      <c r="AI32" s="11">
        <v>1.9</v>
      </c>
      <c r="AJ32" s="11">
        <v>5.9</v>
      </c>
      <c r="AK32" s="11">
        <v>3.1</v>
      </c>
      <c r="AL32" s="11">
        <v>1.6</v>
      </c>
      <c r="AM32" s="11">
        <v>-0.1</v>
      </c>
      <c r="AN32" s="11">
        <v>11.1</v>
      </c>
      <c r="AO32" s="11">
        <v>1</v>
      </c>
      <c r="AP32" s="11">
        <v>0.8</v>
      </c>
      <c r="AQ32" s="11">
        <v>2.1</v>
      </c>
      <c r="AR32" s="11">
        <v>-0.5</v>
      </c>
      <c r="AS32" s="11">
        <v>1</v>
      </c>
      <c r="AT32" s="11">
        <v>1</v>
      </c>
      <c r="AU32" s="11">
        <v>2</v>
      </c>
      <c r="AV32" s="11">
        <v>0.66300000000000003</v>
      </c>
      <c r="AW32" s="11">
        <v>2.5</v>
      </c>
      <c r="AX32" s="11">
        <v>3.2</v>
      </c>
      <c r="AY32" s="11">
        <v>3.2</v>
      </c>
      <c r="AZ32" s="11">
        <v>-1.6</v>
      </c>
      <c r="BA32" s="11">
        <v>3.7</v>
      </c>
    </row>
    <row r="33" spans="2:53" x14ac:dyDescent="0.25">
      <c r="B33" s="31" t="s">
        <v>172</v>
      </c>
      <c r="C33" s="31"/>
      <c r="D33" s="31"/>
      <c r="E33" s="16">
        <f>+E19*0.5+(E27+E29)*0.5</f>
        <v>2.3622872594142277</v>
      </c>
      <c r="F33" s="16"/>
      <c r="G33" s="16">
        <f>+G19*0.5+(G27+G29)*0.5</f>
        <v>3.677624372384936</v>
      </c>
      <c r="H33" s="16"/>
      <c r="I33" s="16">
        <f>+I19*0.5+(I27+I29)*0.5</f>
        <v>0.28048122036262252</v>
      </c>
      <c r="J33" s="16"/>
      <c r="K33" s="16">
        <f>+K19*0.5+(K27+K29)*0.5</f>
        <v>5.8004166666666634</v>
      </c>
      <c r="L33" s="16"/>
      <c r="M33" s="16">
        <f>+M19*0.5+(M27+M29)*0.5</f>
        <v>0.98666596931659623</v>
      </c>
      <c r="N33" s="16"/>
      <c r="O33" s="16">
        <f>+O19*0.5+(O27+O29)*0.5</f>
        <v>1.2088750906555086</v>
      </c>
      <c r="P33" s="16"/>
      <c r="Q33" s="16">
        <f>+Q19*0.5+(Q27+Q29)*0.5</f>
        <v>1.12070040446304</v>
      </c>
      <c r="R33" s="16"/>
      <c r="S33" s="16">
        <f>+S19*0.5+(S27+S29)*0.5</f>
        <v>0.61577623430962303</v>
      </c>
      <c r="T33" s="16"/>
      <c r="U33" s="16">
        <f>+U19*0.5+(U27+U29)*0.5</f>
        <v>1.4511353695955376</v>
      </c>
      <c r="V33" s="16"/>
      <c r="W33" s="16">
        <f>+W19*0.5+(W27+W29)*0.5</f>
        <v>1.1012382322175729</v>
      </c>
      <c r="AH33" s="11">
        <v>1.7</v>
      </c>
      <c r="AI33" s="11">
        <v>1.9</v>
      </c>
      <c r="AJ33" s="11">
        <v>5.9</v>
      </c>
      <c r="AK33" s="11">
        <v>3</v>
      </c>
      <c r="AL33" s="11">
        <v>1.6</v>
      </c>
      <c r="AM33" s="11">
        <v>-0.2</v>
      </c>
      <c r="AN33" s="11">
        <v>11.1</v>
      </c>
      <c r="AO33" s="11">
        <v>0.7</v>
      </c>
      <c r="AP33" s="11">
        <v>0.8</v>
      </c>
      <c r="AQ33" s="11">
        <v>1.8</v>
      </c>
      <c r="AR33" s="11">
        <v>-0.5</v>
      </c>
      <c r="AS33" s="11">
        <v>0.6</v>
      </c>
      <c r="AT33" s="11">
        <v>1</v>
      </c>
      <c r="AU33" s="11">
        <v>1.8</v>
      </c>
      <c r="AV33" s="11">
        <v>0.66300000000000003</v>
      </c>
      <c r="AW33" s="11">
        <v>2.5</v>
      </c>
      <c r="AX33" s="11">
        <v>3.2</v>
      </c>
      <c r="AY33" s="11">
        <v>2.7</v>
      </c>
      <c r="AZ33" s="11">
        <v>-1.6</v>
      </c>
      <c r="BA33" s="11">
        <v>3.6</v>
      </c>
    </row>
    <row r="34" spans="2:53" x14ac:dyDescent="0.25">
      <c r="D34" t="s">
        <v>374</v>
      </c>
      <c r="E34" s="15">
        <f ca="1">+'eco data'!D13</f>
        <v>2.9375</v>
      </c>
      <c r="G34" s="15">
        <f ca="1">+'eco data'!D52</f>
        <v>1.9979309999999999</v>
      </c>
      <c r="I34" s="15">
        <f>+'eco data'!D39</f>
        <v>0.25</v>
      </c>
      <c r="K34" s="15">
        <f>+'eco data'!V26</f>
        <v>2.84</v>
      </c>
      <c r="M34" s="15">
        <f ca="1">+'eco data'!D26</f>
        <v>0.95318800000000004</v>
      </c>
      <c r="O34" s="15">
        <f ca="1">+'eco data'!V13</f>
        <v>0.95318800000000004</v>
      </c>
      <c r="P34" s="15"/>
      <c r="Q34" s="15">
        <f ca="1">+'eco data'!M52</f>
        <v>1.406253</v>
      </c>
      <c r="R34" s="15"/>
      <c r="S34" s="15">
        <f ca="1">+'eco data'!M39</f>
        <v>2.6439249999999999</v>
      </c>
      <c r="T34" s="15"/>
      <c r="U34" s="15">
        <f ca="1">+'eco data'!M26</f>
        <v>1.9181010000000001</v>
      </c>
      <c r="V34" s="15"/>
      <c r="W34" s="15">
        <f ca="1">+'eco data'!M13</f>
        <v>1.9695689999999999</v>
      </c>
      <c r="AH34" s="11">
        <v>2</v>
      </c>
      <c r="AI34" s="11">
        <v>1.9</v>
      </c>
      <c r="AJ34" s="11">
        <v>5.7</v>
      </c>
      <c r="AK34" s="11">
        <v>2.9</v>
      </c>
      <c r="AL34" s="11">
        <v>1.4</v>
      </c>
      <c r="AM34" s="11">
        <v>-0.4</v>
      </c>
      <c r="AN34" s="11">
        <v>9.1</v>
      </c>
      <c r="AO34" s="11">
        <v>0.3</v>
      </c>
      <c r="AP34" s="11">
        <v>0.4</v>
      </c>
      <c r="AQ34" s="11">
        <v>2</v>
      </c>
      <c r="AR34" s="11">
        <v>-1.4</v>
      </c>
      <c r="AS34" s="11">
        <v>1</v>
      </c>
      <c r="AT34" s="11">
        <v>0.4</v>
      </c>
      <c r="AU34" s="11">
        <v>2</v>
      </c>
      <c r="AV34" s="11">
        <v>9.2999999999999999E-2</v>
      </c>
      <c r="AW34" s="11">
        <v>2.2000000000000002</v>
      </c>
      <c r="AX34" s="11">
        <v>2.9</v>
      </c>
      <c r="AY34" s="11">
        <v>2.8</v>
      </c>
      <c r="AZ34" s="11">
        <v>-2</v>
      </c>
      <c r="BA34" s="11">
        <v>3.27</v>
      </c>
    </row>
    <row r="35" spans="2:53" x14ac:dyDescent="0.25">
      <c r="D35" t="s">
        <v>157</v>
      </c>
      <c r="E35" s="15">
        <f ca="1">+E34-E33</f>
        <v>0.57521274058577232</v>
      </c>
      <c r="G35" s="15">
        <f ca="1">+G34-G33</f>
        <v>-1.6796933723849361</v>
      </c>
      <c r="H35" s="15"/>
      <c r="I35" s="15">
        <f>+I34-I33</f>
        <v>-3.0481220362622519E-2</v>
      </c>
      <c r="K35" s="15">
        <f>+K34-K33</f>
        <v>-2.9604166666666636</v>
      </c>
      <c r="L35" s="15"/>
      <c r="M35" s="15">
        <f ca="1">+M34-M33</f>
        <v>-3.347796931659619E-2</v>
      </c>
      <c r="O35" s="15">
        <f ca="1">+O34-O33</f>
        <v>-0.25568709065550854</v>
      </c>
      <c r="P35" s="15"/>
      <c r="Q35" s="15">
        <f ca="1">+Q34-Q33</f>
        <v>0.28555259553696</v>
      </c>
      <c r="S35" s="15">
        <f ca="1">+S34-S33</f>
        <v>2.0281487656903767</v>
      </c>
      <c r="T35" s="15"/>
      <c r="U35" s="15">
        <f ca="1">+U34-U33</f>
        <v>0.46696563040446248</v>
      </c>
      <c r="W35" s="15">
        <f ca="1">+W34-W33</f>
        <v>0.86833076778242702</v>
      </c>
      <c r="AH35" s="11">
        <v>2</v>
      </c>
      <c r="AI35" s="11">
        <v>1.9</v>
      </c>
      <c r="AJ35" s="11">
        <v>5.7</v>
      </c>
      <c r="AK35" s="11">
        <v>3.1</v>
      </c>
      <c r="AL35" s="11">
        <v>1.4</v>
      </c>
      <c r="AM35" s="11">
        <v>-0.2</v>
      </c>
      <c r="AN35" s="11">
        <v>9.1</v>
      </c>
      <c r="AO35" s="11">
        <v>0.5</v>
      </c>
      <c r="AP35" s="11">
        <v>0.4</v>
      </c>
      <c r="AQ35" s="11">
        <v>1.9</v>
      </c>
      <c r="AR35" s="11">
        <v>-1.4</v>
      </c>
      <c r="AS35" s="11">
        <v>1</v>
      </c>
      <c r="AT35" s="11">
        <v>0.4</v>
      </c>
      <c r="AU35" s="11">
        <v>1.9</v>
      </c>
      <c r="AV35" s="11">
        <v>9.2999999999999999E-2</v>
      </c>
      <c r="AW35" s="11">
        <v>2.6</v>
      </c>
      <c r="AX35" s="11">
        <v>2.9</v>
      </c>
      <c r="AY35" s="11">
        <v>2.9</v>
      </c>
      <c r="AZ35" s="11">
        <v>-2</v>
      </c>
      <c r="BA35" s="11">
        <v>2.79</v>
      </c>
    </row>
    <row r="36" spans="2:53" x14ac:dyDescent="0.25">
      <c r="AH36" s="11">
        <v>2</v>
      </c>
      <c r="AI36" s="11">
        <v>1.9</v>
      </c>
      <c r="AJ36" s="11">
        <v>5.7</v>
      </c>
      <c r="AK36" s="11">
        <v>2.9</v>
      </c>
      <c r="AL36" s="11">
        <v>1.4</v>
      </c>
      <c r="AM36" s="11">
        <v>-0.3</v>
      </c>
      <c r="AN36" s="11">
        <v>9.1</v>
      </c>
      <c r="AO36" s="11">
        <v>0.9</v>
      </c>
      <c r="AP36" s="11">
        <v>0.4</v>
      </c>
      <c r="AQ36" s="11">
        <v>2</v>
      </c>
      <c r="AR36" s="11">
        <v>-1.4</v>
      </c>
      <c r="AS36" s="11">
        <v>1.1000000000000001</v>
      </c>
      <c r="AT36" s="11">
        <v>0.4</v>
      </c>
      <c r="AU36" s="11">
        <v>1.9</v>
      </c>
      <c r="AV36" s="11">
        <v>9.2999999999999999E-2</v>
      </c>
      <c r="AW36" s="11">
        <v>2.5</v>
      </c>
      <c r="AX36" s="11">
        <v>2.9</v>
      </c>
      <c r="AY36" s="11">
        <v>3.1</v>
      </c>
      <c r="AZ36" s="11">
        <v>-2</v>
      </c>
      <c r="BA36" s="11">
        <v>2.76</v>
      </c>
    </row>
    <row r="37" spans="2:53" x14ac:dyDescent="0.25">
      <c r="AH37" s="11">
        <v>3.2</v>
      </c>
      <c r="AI37" s="11">
        <v>2</v>
      </c>
      <c r="AJ37" s="11">
        <v>6.5</v>
      </c>
      <c r="AK37" s="11">
        <v>2.8</v>
      </c>
      <c r="AL37" s="11">
        <v>1.3</v>
      </c>
      <c r="AM37" s="11">
        <v>-0.2</v>
      </c>
      <c r="AN37" s="11">
        <v>10</v>
      </c>
      <c r="AO37" s="11">
        <v>1.1000000000000001</v>
      </c>
      <c r="AP37" s="11">
        <v>0.5</v>
      </c>
      <c r="AQ37" s="11">
        <v>2.1</v>
      </c>
      <c r="AR37" s="11">
        <v>-0.7</v>
      </c>
      <c r="AS37" s="11">
        <v>1.1000000000000001</v>
      </c>
      <c r="AT37" s="11">
        <v>0.6</v>
      </c>
      <c r="AU37" s="11">
        <v>2.1</v>
      </c>
      <c r="AV37" s="11">
        <v>-0.20799999999999999</v>
      </c>
      <c r="AW37" s="11">
        <v>2.5</v>
      </c>
      <c r="AX37" s="11">
        <v>2.9</v>
      </c>
      <c r="AY37" s="11">
        <v>3</v>
      </c>
      <c r="AZ37" s="11">
        <v>-0.7</v>
      </c>
      <c r="BA37" s="11">
        <v>3.02</v>
      </c>
    </row>
    <row r="38" spans="2:53" x14ac:dyDescent="0.25">
      <c r="AH38" s="11">
        <v>3.2</v>
      </c>
      <c r="AI38" s="11">
        <v>2</v>
      </c>
      <c r="AJ38" s="11">
        <v>6.5</v>
      </c>
      <c r="AK38" s="11">
        <v>2.6</v>
      </c>
      <c r="AL38" s="11">
        <v>1.3</v>
      </c>
      <c r="AM38" s="11">
        <v>0</v>
      </c>
      <c r="AN38" s="11">
        <v>10</v>
      </c>
      <c r="AO38" s="11">
        <v>1.8</v>
      </c>
      <c r="AP38" s="11">
        <v>0.5</v>
      </c>
      <c r="AQ38" s="11">
        <v>2</v>
      </c>
      <c r="AR38" s="11">
        <v>-0.7</v>
      </c>
      <c r="AS38" s="11">
        <v>1.2</v>
      </c>
      <c r="AT38" s="11">
        <v>0.6</v>
      </c>
      <c r="AU38" s="11">
        <v>2.1</v>
      </c>
      <c r="AV38" s="11">
        <v>-0.20799999999999999</v>
      </c>
      <c r="AW38" s="11">
        <v>2.2000000000000002</v>
      </c>
      <c r="AX38" s="11">
        <v>2.9</v>
      </c>
      <c r="AY38" s="11">
        <v>2.7</v>
      </c>
      <c r="AZ38" s="11">
        <v>-0.7</v>
      </c>
      <c r="BA38" s="11">
        <v>2.91</v>
      </c>
    </row>
    <row r="39" spans="2:53" x14ac:dyDescent="0.25">
      <c r="AH39" s="11">
        <v>3.2</v>
      </c>
      <c r="AI39" s="11">
        <v>2</v>
      </c>
      <c r="AJ39" s="11">
        <v>6.5</v>
      </c>
      <c r="AK39" s="11">
        <v>2.5</v>
      </c>
      <c r="AL39" s="11">
        <v>1.3</v>
      </c>
      <c r="AM39" s="11">
        <v>-0.5</v>
      </c>
      <c r="AN39" s="11">
        <v>10</v>
      </c>
      <c r="AO39" s="11">
        <v>3</v>
      </c>
      <c r="AP39" s="11">
        <v>0.5</v>
      </c>
      <c r="AQ39" s="11">
        <v>2.2000000000000002</v>
      </c>
      <c r="AR39" s="11">
        <v>-0.7</v>
      </c>
      <c r="AS39" s="11">
        <v>1.3</v>
      </c>
      <c r="AT39" s="11">
        <v>0.6</v>
      </c>
      <c r="AU39" s="11">
        <v>2.2000000000000002</v>
      </c>
      <c r="AV39" s="11">
        <v>-0.20799999999999999</v>
      </c>
      <c r="AW39" s="11">
        <v>2.2000000000000002</v>
      </c>
      <c r="AX39" s="11">
        <v>2.9</v>
      </c>
      <c r="AY39" s="11">
        <v>2.9</v>
      </c>
      <c r="AZ39" s="11">
        <v>-0.7</v>
      </c>
      <c r="BA39" s="11">
        <v>2.46</v>
      </c>
    </row>
    <row r="40" spans="2:53" x14ac:dyDescent="0.25">
      <c r="AH40" s="11">
        <v>4.3</v>
      </c>
      <c r="AI40" s="11">
        <v>2</v>
      </c>
      <c r="AJ40" s="11">
        <v>5.6</v>
      </c>
      <c r="AK40" s="11">
        <v>2.8</v>
      </c>
      <c r="AL40" s="11">
        <v>1.9</v>
      </c>
      <c r="AM40" s="11">
        <v>-0.4</v>
      </c>
      <c r="AN40" s="11">
        <v>10</v>
      </c>
      <c r="AO40" s="11">
        <v>3.2</v>
      </c>
      <c r="AP40" s="11">
        <v>1.1000000000000001</v>
      </c>
      <c r="AQ40" s="11">
        <v>2</v>
      </c>
      <c r="AR40" s="11">
        <v>-0.2</v>
      </c>
      <c r="AS40" s="11">
        <v>1.1000000000000001</v>
      </c>
      <c r="AT40" s="11">
        <v>1.4</v>
      </c>
      <c r="AU40" s="11">
        <v>2.2000000000000002</v>
      </c>
      <c r="AV40" s="11">
        <v>0.35299999999999998</v>
      </c>
      <c r="AW40" s="11">
        <v>2.2000000000000002</v>
      </c>
      <c r="AX40" s="11">
        <v>3</v>
      </c>
      <c r="AY40" s="11">
        <v>2.7</v>
      </c>
      <c r="AZ40" s="11">
        <v>0.5</v>
      </c>
      <c r="BA40" s="11">
        <v>2.37</v>
      </c>
    </row>
    <row r="41" spans="2:53" x14ac:dyDescent="0.25">
      <c r="AH41" s="11">
        <v>4.3</v>
      </c>
      <c r="AI41" s="11">
        <v>2</v>
      </c>
      <c r="AJ41" s="11">
        <v>5.6</v>
      </c>
      <c r="AK41" s="11">
        <v>2.6</v>
      </c>
      <c r="AL41" s="11">
        <v>1.9</v>
      </c>
      <c r="AM41" s="11">
        <v>-0.3</v>
      </c>
      <c r="AN41" s="11">
        <v>10</v>
      </c>
      <c r="AO41" s="11">
        <v>3.2</v>
      </c>
      <c r="AP41" s="11">
        <v>1.1000000000000001</v>
      </c>
      <c r="AQ41" s="11">
        <v>1.8</v>
      </c>
      <c r="AR41" s="11">
        <v>-0.2</v>
      </c>
      <c r="AS41" s="11">
        <v>1.1000000000000001</v>
      </c>
      <c r="AT41" s="11">
        <v>1.4</v>
      </c>
      <c r="AU41" s="11">
        <v>2</v>
      </c>
      <c r="AV41" s="11">
        <v>0.35299999999999998</v>
      </c>
      <c r="AW41" s="11">
        <v>2.1</v>
      </c>
      <c r="AX41" s="11">
        <v>3</v>
      </c>
      <c r="AY41" s="11">
        <v>2.2999999999999998</v>
      </c>
      <c r="AZ41" s="11">
        <v>0.5</v>
      </c>
      <c r="BA41" s="11">
        <v>2.23</v>
      </c>
    </row>
    <row r="42" spans="2:53" x14ac:dyDescent="0.25">
      <c r="AH42" s="11">
        <v>4.3</v>
      </c>
      <c r="AI42" s="11">
        <v>2</v>
      </c>
      <c r="AJ42" s="11">
        <v>5.6</v>
      </c>
      <c r="AK42" s="11">
        <v>2.5</v>
      </c>
      <c r="AL42" s="11">
        <v>1.9</v>
      </c>
      <c r="AM42" s="11">
        <v>0</v>
      </c>
      <c r="AN42" s="11">
        <v>10</v>
      </c>
      <c r="AO42" s="11">
        <v>2.1</v>
      </c>
      <c r="AP42" s="11">
        <v>1.1000000000000001</v>
      </c>
      <c r="AQ42" s="11">
        <v>1.6</v>
      </c>
      <c r="AR42" s="11">
        <v>-0.2</v>
      </c>
      <c r="AS42" s="11">
        <v>0.7</v>
      </c>
      <c r="AT42" s="11">
        <v>1.4</v>
      </c>
      <c r="AU42" s="11">
        <v>1.7</v>
      </c>
      <c r="AV42" s="11">
        <v>0.35299999999999998</v>
      </c>
      <c r="AW42" s="11">
        <v>2.1</v>
      </c>
      <c r="AX42" s="11">
        <v>3</v>
      </c>
      <c r="AY42" s="11">
        <v>2.2000000000000002</v>
      </c>
      <c r="AZ42" s="11">
        <v>0.5</v>
      </c>
      <c r="BA42" s="11">
        <v>2.09</v>
      </c>
    </row>
    <row r="43" spans="2:53" x14ac:dyDescent="0.25">
      <c r="AH43" s="11">
        <v>4.4000000000000004</v>
      </c>
      <c r="AI43" s="11">
        <v>2.2999999999999998</v>
      </c>
      <c r="AJ43" s="11">
        <v>4.3</v>
      </c>
      <c r="AK43" s="11">
        <v>2.6</v>
      </c>
      <c r="AL43" s="11">
        <v>3.1</v>
      </c>
      <c r="AM43" s="11">
        <v>-0.1</v>
      </c>
      <c r="AN43" s="11">
        <v>10.6</v>
      </c>
      <c r="AO43" s="11">
        <v>3</v>
      </c>
      <c r="AP43" s="11">
        <v>1.9</v>
      </c>
      <c r="AQ43" s="11">
        <v>1.7</v>
      </c>
      <c r="AR43" s="11">
        <v>1.7</v>
      </c>
      <c r="AS43" s="11">
        <v>1.1000000000000001</v>
      </c>
      <c r="AT43" s="11">
        <v>2.1</v>
      </c>
      <c r="AU43" s="11">
        <v>1.7</v>
      </c>
      <c r="AV43" s="11">
        <v>0.91600000000000004</v>
      </c>
      <c r="AW43" s="11">
        <v>2</v>
      </c>
      <c r="AX43" s="11">
        <v>2.7</v>
      </c>
      <c r="AY43" s="11">
        <v>2.2000000000000002</v>
      </c>
      <c r="AZ43" s="11">
        <v>1.3</v>
      </c>
      <c r="BA43" s="11">
        <v>2.25</v>
      </c>
    </row>
    <row r="44" spans="2:53" x14ac:dyDescent="0.25">
      <c r="AH44" s="11">
        <v>4.4000000000000004</v>
      </c>
      <c r="AI44" s="11">
        <v>2.2999999999999998</v>
      </c>
      <c r="AJ44" s="11">
        <v>4.3</v>
      </c>
      <c r="AK44" s="11">
        <v>2.5</v>
      </c>
      <c r="AL44" s="11">
        <v>3.1</v>
      </c>
      <c r="AM44" s="11">
        <v>-0.4</v>
      </c>
      <c r="AN44" s="11">
        <v>10.6</v>
      </c>
      <c r="AO44" s="11">
        <v>3.8</v>
      </c>
      <c r="AP44" s="11">
        <v>1.9</v>
      </c>
      <c r="AQ44" s="11">
        <v>2.1</v>
      </c>
      <c r="AR44" s="11">
        <v>1.7</v>
      </c>
      <c r="AS44" s="11">
        <v>1.7</v>
      </c>
      <c r="AT44" s="11">
        <v>2.1</v>
      </c>
      <c r="AU44" s="11">
        <v>2.1</v>
      </c>
      <c r="AV44" s="11">
        <v>0.91600000000000004</v>
      </c>
      <c r="AW44" s="11">
        <v>2</v>
      </c>
      <c r="AX44" s="11">
        <v>2.7</v>
      </c>
      <c r="AY44" s="11">
        <v>2.7</v>
      </c>
      <c r="AZ44" s="11">
        <v>1.3</v>
      </c>
      <c r="BA44" s="11">
        <v>2.34</v>
      </c>
    </row>
    <row r="45" spans="2:53" x14ac:dyDescent="0.25">
      <c r="AH45" s="11">
        <v>4.4000000000000004</v>
      </c>
      <c r="AI45" s="11">
        <v>2.2999999999999998</v>
      </c>
      <c r="AJ45" s="11">
        <v>4.3</v>
      </c>
      <c r="AK45" s="11">
        <v>2.8</v>
      </c>
      <c r="AL45" s="11">
        <v>3.1</v>
      </c>
      <c r="AM45" s="11">
        <v>-0.5</v>
      </c>
      <c r="AN45" s="11">
        <v>10.6</v>
      </c>
      <c r="AO45" s="11">
        <v>4.4000000000000004</v>
      </c>
      <c r="AP45" s="11">
        <v>1.9</v>
      </c>
      <c r="AQ45" s="11">
        <v>2.5</v>
      </c>
      <c r="AR45" s="11">
        <v>1.7</v>
      </c>
      <c r="AS45" s="11">
        <v>2.2000000000000002</v>
      </c>
      <c r="AT45" s="11">
        <v>2.1</v>
      </c>
      <c r="AU45" s="11">
        <v>2.6</v>
      </c>
      <c r="AV45" s="11">
        <v>0.91600000000000004</v>
      </c>
      <c r="AW45" s="11">
        <v>2.1</v>
      </c>
      <c r="AX45" s="11">
        <v>2.7</v>
      </c>
      <c r="AY45" s="11">
        <v>3.4</v>
      </c>
      <c r="AZ45" s="11">
        <v>1.3</v>
      </c>
      <c r="BA45" s="11">
        <v>2.4300000000000002</v>
      </c>
    </row>
    <row r="46" spans="2:53" x14ac:dyDescent="0.25">
      <c r="AH46" s="11">
        <v>4.2</v>
      </c>
      <c r="AI46" s="11">
        <v>2.7</v>
      </c>
      <c r="AJ46" s="11">
        <v>6</v>
      </c>
      <c r="AK46" s="11">
        <v>3</v>
      </c>
      <c r="AL46" s="11">
        <v>2.2000000000000002</v>
      </c>
      <c r="AM46" s="11">
        <v>0</v>
      </c>
      <c r="AN46" s="11">
        <v>11.6</v>
      </c>
      <c r="AO46" s="11">
        <v>5</v>
      </c>
      <c r="AP46" s="11">
        <v>2.4</v>
      </c>
      <c r="AQ46" s="11">
        <v>2.4</v>
      </c>
      <c r="AR46" s="11">
        <v>1.9</v>
      </c>
      <c r="AS46" s="11">
        <v>1.8</v>
      </c>
      <c r="AT46" s="11">
        <v>3</v>
      </c>
      <c r="AU46" s="11">
        <v>2.5</v>
      </c>
      <c r="AV46" s="11">
        <v>1.506</v>
      </c>
      <c r="AW46" s="11">
        <v>2.2000000000000002</v>
      </c>
      <c r="AX46" s="11">
        <v>3.1</v>
      </c>
      <c r="AY46" s="11">
        <v>3.5</v>
      </c>
      <c r="AZ46" s="11">
        <v>2.8</v>
      </c>
      <c r="BA46" s="11">
        <v>2.67</v>
      </c>
    </row>
    <row r="47" spans="2:53" x14ac:dyDescent="0.25">
      <c r="AH47" s="11">
        <v>4.2</v>
      </c>
      <c r="AI47" s="11">
        <v>2.7</v>
      </c>
      <c r="AJ47" s="11">
        <v>6</v>
      </c>
      <c r="AK47" s="11">
        <v>3</v>
      </c>
      <c r="AL47" s="11">
        <v>2.2000000000000002</v>
      </c>
      <c r="AM47" s="11">
        <v>-0.1</v>
      </c>
      <c r="AN47" s="11">
        <v>11.6</v>
      </c>
      <c r="AO47" s="11">
        <v>5.3</v>
      </c>
      <c r="AP47" s="11">
        <v>2.4</v>
      </c>
      <c r="AQ47" s="11">
        <v>2.2999999999999998</v>
      </c>
      <c r="AR47" s="11">
        <v>1.9</v>
      </c>
      <c r="AS47" s="11">
        <v>1.8</v>
      </c>
      <c r="AT47" s="11">
        <v>3</v>
      </c>
      <c r="AU47" s="11">
        <v>2.4</v>
      </c>
      <c r="AV47" s="11">
        <v>1.506</v>
      </c>
      <c r="AW47" s="11">
        <v>1.9</v>
      </c>
      <c r="AX47" s="11">
        <v>3.1</v>
      </c>
      <c r="AY47" s="11">
        <v>3.3</v>
      </c>
      <c r="AZ47" s="11">
        <v>2.8</v>
      </c>
      <c r="BA47" s="11">
        <v>2.77</v>
      </c>
    </row>
    <row r="48" spans="2:53" x14ac:dyDescent="0.25">
      <c r="AH48" s="11">
        <v>4.2</v>
      </c>
      <c r="AI48" s="11">
        <v>2.7</v>
      </c>
      <c r="AJ48" s="11">
        <v>6</v>
      </c>
      <c r="AK48" s="11">
        <v>3.2</v>
      </c>
      <c r="AL48" s="11">
        <v>2.2000000000000002</v>
      </c>
      <c r="AM48" s="11">
        <v>-0.2</v>
      </c>
      <c r="AN48" s="11">
        <v>11.6</v>
      </c>
      <c r="AO48" s="11">
        <v>5.3</v>
      </c>
      <c r="AP48" s="11">
        <v>2.4</v>
      </c>
      <c r="AQ48" s="11">
        <v>2.4</v>
      </c>
      <c r="AR48" s="11">
        <v>1.9</v>
      </c>
      <c r="AS48" s="11">
        <v>1.9</v>
      </c>
      <c r="AT48" s="11">
        <v>3</v>
      </c>
      <c r="AU48" s="11">
        <v>2.4</v>
      </c>
      <c r="AV48" s="11">
        <v>1.506</v>
      </c>
      <c r="AW48" s="11">
        <v>1.9</v>
      </c>
      <c r="AX48" s="11">
        <v>3.1</v>
      </c>
      <c r="AY48" s="11">
        <v>3.3</v>
      </c>
      <c r="AZ48" s="11">
        <v>2.8</v>
      </c>
      <c r="BA48" s="11">
        <v>2.36</v>
      </c>
    </row>
    <row r="49" spans="34:53" x14ac:dyDescent="0.25">
      <c r="AH49" s="11">
        <v>3.5</v>
      </c>
      <c r="AI49" s="11">
        <v>2.8</v>
      </c>
      <c r="AJ49" s="11">
        <v>4.3</v>
      </c>
      <c r="AK49" s="11">
        <v>3.1</v>
      </c>
      <c r="AL49" s="11">
        <v>2.5</v>
      </c>
      <c r="AM49" s="11">
        <v>0</v>
      </c>
      <c r="AN49" s="11">
        <v>9.8000000000000007</v>
      </c>
      <c r="AO49" s="11">
        <v>5.2</v>
      </c>
      <c r="AP49" s="11">
        <v>2.1</v>
      </c>
      <c r="AQ49" s="11">
        <v>2.1</v>
      </c>
      <c r="AR49" s="11">
        <v>0.4</v>
      </c>
      <c r="AS49" s="11">
        <v>1.7</v>
      </c>
      <c r="AT49" s="11">
        <v>2.6</v>
      </c>
      <c r="AU49" s="11">
        <v>2.1</v>
      </c>
      <c r="AV49" s="11">
        <v>1.5680000000000001</v>
      </c>
      <c r="AW49" s="11">
        <v>1.8</v>
      </c>
      <c r="AX49" s="11">
        <v>3.4</v>
      </c>
      <c r="AY49" s="11">
        <v>3.2</v>
      </c>
      <c r="AZ49" s="11">
        <v>1.9</v>
      </c>
      <c r="BA49" s="11">
        <v>2.09</v>
      </c>
    </row>
    <row r="50" spans="34:53" x14ac:dyDescent="0.25">
      <c r="AH50" s="11">
        <v>3.5</v>
      </c>
      <c r="AI50" s="11">
        <v>2.8</v>
      </c>
      <c r="AJ50" s="11">
        <v>4.3</v>
      </c>
      <c r="AK50" s="11">
        <v>3.3</v>
      </c>
      <c r="AL50" s="11">
        <v>2.5</v>
      </c>
      <c r="AM50" s="11">
        <v>0.5</v>
      </c>
      <c r="AN50" s="11">
        <v>9.8000000000000007</v>
      </c>
      <c r="AO50" s="11">
        <v>4.3</v>
      </c>
      <c r="AP50" s="11">
        <v>2.1</v>
      </c>
      <c r="AQ50" s="11">
        <v>2.4</v>
      </c>
      <c r="AR50" s="11">
        <v>0.4</v>
      </c>
      <c r="AS50" s="11">
        <v>1.8</v>
      </c>
      <c r="AT50" s="11">
        <v>2.6</v>
      </c>
      <c r="AU50" s="11">
        <v>2.1</v>
      </c>
      <c r="AV50" s="11">
        <v>1.5680000000000001</v>
      </c>
      <c r="AW50" s="11">
        <v>1.7</v>
      </c>
      <c r="AX50" s="11">
        <v>3.4</v>
      </c>
      <c r="AY50" s="11">
        <v>3.6</v>
      </c>
      <c r="AZ50" s="11">
        <v>1.9</v>
      </c>
      <c r="BA50" s="11">
        <v>2.19</v>
      </c>
    </row>
    <row r="51" spans="34:53" x14ac:dyDescent="0.25">
      <c r="AH51" s="11">
        <v>3.5</v>
      </c>
      <c r="AI51" s="11">
        <v>2.8</v>
      </c>
      <c r="AJ51" s="11">
        <v>4.3</v>
      </c>
      <c r="AK51" s="11">
        <v>3.4</v>
      </c>
      <c r="AL51" s="11">
        <v>2.5</v>
      </c>
      <c r="AM51" s="11">
        <v>0.8</v>
      </c>
      <c r="AN51" s="11">
        <v>9.8000000000000007</v>
      </c>
      <c r="AO51" s="11">
        <v>2.8</v>
      </c>
      <c r="AP51" s="11">
        <v>2.1</v>
      </c>
      <c r="AQ51" s="11">
        <v>2.2000000000000002</v>
      </c>
      <c r="AR51" s="11">
        <v>0.4</v>
      </c>
      <c r="AS51" s="11">
        <v>1.9</v>
      </c>
      <c r="AT51" s="11">
        <v>2.6</v>
      </c>
      <c r="AU51" s="11">
        <v>2.1</v>
      </c>
      <c r="AV51" s="11">
        <v>1.5680000000000001</v>
      </c>
      <c r="AW51" s="11">
        <v>1.7</v>
      </c>
      <c r="AX51" s="11">
        <v>3.4</v>
      </c>
      <c r="AY51" s="11">
        <v>3.5</v>
      </c>
      <c r="AZ51" s="11">
        <v>1.9</v>
      </c>
      <c r="BA51" s="11">
        <v>2.4700000000000002</v>
      </c>
    </row>
    <row r="52" spans="34:53" x14ac:dyDescent="0.25">
      <c r="AH52" s="11">
        <v>3.4</v>
      </c>
      <c r="AI52" s="11">
        <v>3</v>
      </c>
      <c r="AJ52" s="11">
        <v>4.7</v>
      </c>
      <c r="AK52" s="11">
        <v>3.5</v>
      </c>
      <c r="AL52" s="11">
        <v>1.1000000000000001</v>
      </c>
      <c r="AM52" s="11">
        <v>0.2</v>
      </c>
      <c r="AN52" s="11">
        <v>8.8000000000000007</v>
      </c>
      <c r="AO52" s="11">
        <v>2.4</v>
      </c>
      <c r="AP52" s="11">
        <v>1.7</v>
      </c>
      <c r="AQ52" s="11">
        <v>2.2999999999999998</v>
      </c>
      <c r="AR52" s="11">
        <v>0.8</v>
      </c>
      <c r="AS52" s="11">
        <v>2.2999999999999998</v>
      </c>
      <c r="AT52" s="11">
        <v>2.6</v>
      </c>
      <c r="AU52" s="11">
        <v>2.1</v>
      </c>
      <c r="AV52" s="11">
        <v>0.88900000000000001</v>
      </c>
      <c r="AW52" s="11">
        <v>1.7</v>
      </c>
      <c r="AX52" s="11">
        <v>3.2</v>
      </c>
      <c r="AY52" s="11">
        <v>3.3</v>
      </c>
      <c r="AZ52" s="11">
        <v>1.2</v>
      </c>
      <c r="BA52" s="11">
        <v>2.4900000000000002</v>
      </c>
    </row>
    <row r="53" spans="34:53" x14ac:dyDescent="0.25">
      <c r="AH53" s="11">
        <v>3.4</v>
      </c>
      <c r="AI53" s="11">
        <v>3</v>
      </c>
      <c r="AJ53" s="11">
        <v>4.7</v>
      </c>
      <c r="AK53" s="11">
        <v>3.2</v>
      </c>
      <c r="AL53" s="11">
        <v>1.1000000000000001</v>
      </c>
      <c r="AM53" s="11">
        <v>-0.1</v>
      </c>
      <c r="AN53" s="11">
        <v>8.8000000000000007</v>
      </c>
      <c r="AO53" s="11">
        <v>1.9</v>
      </c>
      <c r="AP53" s="11">
        <v>1.7</v>
      </c>
      <c r="AQ53" s="11">
        <v>1.9</v>
      </c>
      <c r="AR53" s="11">
        <v>0.8</v>
      </c>
      <c r="AS53" s="11">
        <v>1.5</v>
      </c>
      <c r="AT53" s="11">
        <v>2.6</v>
      </c>
      <c r="AU53" s="11">
        <v>1.5</v>
      </c>
      <c r="AV53" s="11">
        <v>0.88900000000000001</v>
      </c>
      <c r="AW53" s="11">
        <v>1.4</v>
      </c>
      <c r="AX53" s="11">
        <v>3.2</v>
      </c>
      <c r="AY53" s="11">
        <v>3.1</v>
      </c>
      <c r="AZ53" s="11">
        <v>1.2</v>
      </c>
      <c r="BA53" s="11">
        <v>2.02</v>
      </c>
    </row>
    <row r="54" spans="34:53" x14ac:dyDescent="0.25">
      <c r="AH54" s="11">
        <v>3.4</v>
      </c>
      <c r="AI54" s="11">
        <v>3</v>
      </c>
      <c r="AJ54" s="11">
        <v>4.7</v>
      </c>
      <c r="AK54" s="11">
        <v>3.2</v>
      </c>
      <c r="AL54" s="11">
        <v>1.1000000000000001</v>
      </c>
      <c r="AM54" s="11">
        <v>-0.3</v>
      </c>
      <c r="AN54" s="11">
        <v>8.8000000000000007</v>
      </c>
      <c r="AO54" s="11">
        <v>3.9</v>
      </c>
      <c r="AP54" s="11">
        <v>1.7</v>
      </c>
      <c r="AQ54" s="11">
        <v>2.1</v>
      </c>
      <c r="AR54" s="11">
        <v>0.8</v>
      </c>
      <c r="AS54" s="11">
        <v>1.7</v>
      </c>
      <c r="AT54" s="11">
        <v>2.6</v>
      </c>
      <c r="AU54" s="11">
        <v>1.7</v>
      </c>
      <c r="AV54" s="11">
        <v>0.88900000000000001</v>
      </c>
      <c r="AW54" s="11">
        <v>1.6</v>
      </c>
      <c r="AX54" s="11">
        <v>3.2</v>
      </c>
      <c r="AY54" s="11">
        <v>3.3</v>
      </c>
      <c r="AZ54" s="11">
        <v>1.2</v>
      </c>
      <c r="BA54" s="11">
        <v>2.13</v>
      </c>
    </row>
    <row r="55" spans="34:53" x14ac:dyDescent="0.25">
      <c r="AH55" s="11">
        <v>3.9</v>
      </c>
      <c r="AI55" s="11">
        <v>3</v>
      </c>
      <c r="AJ55" s="11">
        <v>5.7</v>
      </c>
      <c r="AK55" s="11">
        <v>3.2</v>
      </c>
      <c r="AL55" s="11">
        <v>1.1000000000000001</v>
      </c>
      <c r="AM55" s="11">
        <v>-0.2</v>
      </c>
      <c r="AN55" s="11">
        <v>11.1</v>
      </c>
      <c r="AO55" s="11">
        <v>2.7</v>
      </c>
      <c r="AP55" s="11">
        <v>1.5</v>
      </c>
      <c r="AQ55" s="11">
        <v>2.2000000000000002</v>
      </c>
      <c r="AR55" s="11">
        <v>-0.7</v>
      </c>
      <c r="AS55" s="11">
        <v>1.8</v>
      </c>
      <c r="AT55" s="11">
        <v>1.9</v>
      </c>
      <c r="AU55" s="11">
        <v>1.9</v>
      </c>
      <c r="AV55" s="11">
        <v>0.47</v>
      </c>
      <c r="AW55" s="11">
        <v>1.7</v>
      </c>
      <c r="AX55" s="11">
        <v>3.6</v>
      </c>
      <c r="AY55" s="11">
        <v>3.4</v>
      </c>
      <c r="AZ55" s="11">
        <v>1.1000000000000001</v>
      </c>
      <c r="BA55" s="11">
        <v>2.2400000000000002</v>
      </c>
    </row>
    <row r="56" spans="34:53" x14ac:dyDescent="0.25">
      <c r="AH56" s="11">
        <v>3.9</v>
      </c>
      <c r="AI56" s="11">
        <v>3</v>
      </c>
      <c r="AJ56" s="11">
        <v>5.7</v>
      </c>
      <c r="AK56" s="11">
        <v>3.2</v>
      </c>
      <c r="AL56" s="11">
        <v>1.1000000000000001</v>
      </c>
      <c r="AM56" s="11">
        <v>0</v>
      </c>
      <c r="AN56" s="11">
        <v>11.1</v>
      </c>
      <c r="AO56" s="11">
        <v>1.8</v>
      </c>
      <c r="AP56" s="11">
        <v>1.5</v>
      </c>
      <c r="AQ56" s="11">
        <v>2.1</v>
      </c>
      <c r="AR56" s="11">
        <v>-0.7</v>
      </c>
      <c r="AS56" s="11">
        <v>1.2</v>
      </c>
      <c r="AT56" s="11">
        <v>1.9</v>
      </c>
      <c r="AU56" s="11">
        <v>1.9</v>
      </c>
      <c r="AV56" s="11">
        <v>0.47</v>
      </c>
      <c r="AW56" s="11">
        <v>1.8</v>
      </c>
      <c r="AX56" s="11">
        <v>3.6</v>
      </c>
      <c r="AY56" s="11">
        <v>3.5</v>
      </c>
      <c r="AZ56" s="11">
        <v>1.1000000000000001</v>
      </c>
      <c r="BA56" s="11">
        <v>2.0699999999999998</v>
      </c>
    </row>
    <row r="57" spans="34:53" x14ac:dyDescent="0.25">
      <c r="AH57" s="11">
        <v>3.9</v>
      </c>
      <c r="AI57" s="11">
        <v>3</v>
      </c>
      <c r="AJ57" s="11">
        <v>5.7</v>
      </c>
      <c r="AK57" s="11">
        <v>2.9</v>
      </c>
      <c r="AL57" s="11">
        <v>1.1000000000000001</v>
      </c>
      <c r="AM57" s="11">
        <v>0.2</v>
      </c>
      <c r="AN57" s="11">
        <v>11.1</v>
      </c>
      <c r="AO57" s="11">
        <v>1.8</v>
      </c>
      <c r="AP57" s="11">
        <v>1.5</v>
      </c>
      <c r="AQ57" s="11">
        <v>2</v>
      </c>
      <c r="AR57" s="11">
        <v>-0.7</v>
      </c>
      <c r="AS57" s="11">
        <v>1.1000000000000001</v>
      </c>
      <c r="AT57" s="11">
        <v>1.9</v>
      </c>
      <c r="AU57" s="11">
        <v>1.6</v>
      </c>
      <c r="AV57" s="11">
        <v>0.47</v>
      </c>
      <c r="AW57" s="11">
        <v>1.7</v>
      </c>
      <c r="AX57" s="11">
        <v>3.6</v>
      </c>
      <c r="AY57" s="11">
        <v>3.1</v>
      </c>
      <c r="AZ57" s="11">
        <v>1.1000000000000001</v>
      </c>
      <c r="BA57" s="11">
        <v>1.83</v>
      </c>
    </row>
    <row r="58" spans="34:53" x14ac:dyDescent="0.25">
      <c r="AH58" s="11">
        <v>3.6</v>
      </c>
      <c r="AI58" s="11">
        <v>3</v>
      </c>
      <c r="AJ58" s="11">
        <v>5.8</v>
      </c>
      <c r="AK58" s="11">
        <v>2.9</v>
      </c>
      <c r="AL58" s="11">
        <v>1.7</v>
      </c>
      <c r="AM58" s="11">
        <v>-0.5</v>
      </c>
      <c r="AN58" s="11">
        <v>11.1</v>
      </c>
      <c r="AO58" s="11">
        <v>1.6</v>
      </c>
      <c r="AP58" s="11">
        <v>1.4</v>
      </c>
      <c r="AQ58" s="11">
        <v>2</v>
      </c>
      <c r="AR58" s="11">
        <v>1.1000000000000001</v>
      </c>
      <c r="AS58" s="11">
        <v>1.3</v>
      </c>
      <c r="AT58" s="11">
        <v>1.5</v>
      </c>
      <c r="AU58" s="11">
        <v>1.7</v>
      </c>
      <c r="AV58" s="11">
        <v>0.79100000000000004</v>
      </c>
      <c r="AW58" s="11">
        <v>1.7</v>
      </c>
      <c r="AX58" s="11">
        <v>3.5</v>
      </c>
      <c r="AY58" s="11">
        <v>3.2</v>
      </c>
      <c r="AZ58" s="11">
        <v>0.9</v>
      </c>
      <c r="BA58" s="11">
        <v>1.62</v>
      </c>
    </row>
    <row r="59" spans="34:53" x14ac:dyDescent="0.25">
      <c r="AH59" s="11">
        <v>3.6</v>
      </c>
      <c r="AI59" s="11">
        <v>3</v>
      </c>
      <c r="AJ59" s="11">
        <v>5.8</v>
      </c>
      <c r="AK59" s="11">
        <v>2.9</v>
      </c>
      <c r="AL59" s="11">
        <v>1.7</v>
      </c>
      <c r="AM59" s="11">
        <v>-0.3</v>
      </c>
      <c r="AN59" s="11">
        <v>11.1</v>
      </c>
      <c r="AO59" s="11">
        <v>1.8</v>
      </c>
      <c r="AP59" s="11">
        <v>1.4</v>
      </c>
      <c r="AQ59" s="11">
        <v>2.1</v>
      </c>
      <c r="AR59" s="11">
        <v>1.1000000000000001</v>
      </c>
      <c r="AS59" s="11">
        <v>1.5</v>
      </c>
      <c r="AT59" s="11">
        <v>1.5</v>
      </c>
      <c r="AU59" s="11">
        <v>1.7</v>
      </c>
      <c r="AV59" s="11">
        <v>0.79100000000000004</v>
      </c>
      <c r="AW59" s="11">
        <v>1.8</v>
      </c>
      <c r="AX59" s="11">
        <v>3.5</v>
      </c>
      <c r="AY59" s="11">
        <v>3.3</v>
      </c>
      <c r="AZ59" s="11">
        <v>0.9</v>
      </c>
      <c r="BA59" s="11">
        <v>2.12</v>
      </c>
    </row>
    <row r="60" spans="34:53" x14ac:dyDescent="0.25">
      <c r="AH60" s="11">
        <v>3.6</v>
      </c>
      <c r="AI60" s="11">
        <v>3</v>
      </c>
      <c r="AJ60" s="11">
        <v>5.8</v>
      </c>
      <c r="AK60" s="11">
        <v>2.8</v>
      </c>
      <c r="AL60" s="11">
        <v>1.7</v>
      </c>
      <c r="AM60" s="11">
        <v>-0.3</v>
      </c>
      <c r="AN60" s="11">
        <v>11.1</v>
      </c>
      <c r="AO60" s="11">
        <v>1.3</v>
      </c>
      <c r="AP60" s="11">
        <v>1.4</v>
      </c>
      <c r="AQ60" s="11">
        <v>2.2000000000000002</v>
      </c>
      <c r="AR60" s="11">
        <v>1.1000000000000001</v>
      </c>
      <c r="AS60" s="11">
        <v>1.5</v>
      </c>
      <c r="AT60" s="11">
        <v>1.5</v>
      </c>
      <c r="AU60" s="11">
        <v>1.8</v>
      </c>
      <c r="AV60" s="11">
        <v>0.79100000000000004</v>
      </c>
      <c r="AW60" s="11">
        <v>1.8</v>
      </c>
      <c r="AX60" s="11">
        <v>3.5</v>
      </c>
      <c r="AY60" s="11">
        <v>3.3</v>
      </c>
      <c r="AZ60" s="11">
        <v>0.9</v>
      </c>
      <c r="BA60" s="11">
        <v>2.59</v>
      </c>
    </row>
    <row r="61" spans="34:53" x14ac:dyDescent="0.25">
      <c r="AH61" s="11">
        <v>3.4</v>
      </c>
      <c r="AI61" s="11">
        <v>3.2</v>
      </c>
      <c r="AJ61" s="11">
        <v>5.6</v>
      </c>
      <c r="AK61" s="11">
        <v>2.7</v>
      </c>
      <c r="AL61" s="11">
        <v>2</v>
      </c>
      <c r="AM61" s="11">
        <v>-0.3</v>
      </c>
      <c r="AN61" s="11">
        <v>9.4</v>
      </c>
      <c r="AO61" s="11">
        <v>0.9</v>
      </c>
      <c r="AP61" s="11">
        <v>1.9</v>
      </c>
      <c r="AQ61" s="11">
        <v>2.6</v>
      </c>
      <c r="AR61" s="11">
        <v>1.2</v>
      </c>
      <c r="AS61" s="11">
        <v>1.9</v>
      </c>
      <c r="AT61" s="11">
        <v>1.7</v>
      </c>
      <c r="AU61" s="11">
        <v>2.1</v>
      </c>
      <c r="AV61" s="11">
        <v>1.4319999999999999</v>
      </c>
      <c r="AW61" s="11">
        <v>1.9</v>
      </c>
      <c r="AX61" s="11">
        <v>3.6</v>
      </c>
      <c r="AY61" s="11">
        <v>3.8</v>
      </c>
      <c r="AZ61" s="11">
        <v>0.4</v>
      </c>
      <c r="BA61" s="11">
        <v>2.87</v>
      </c>
    </row>
    <row r="62" spans="34:53" x14ac:dyDescent="0.25">
      <c r="AH62" s="11">
        <v>3.4</v>
      </c>
      <c r="AI62" s="11">
        <v>3.2</v>
      </c>
      <c r="AJ62" s="11">
        <v>5.6</v>
      </c>
      <c r="AK62" s="11">
        <v>2.5</v>
      </c>
      <c r="AL62" s="11">
        <v>2</v>
      </c>
      <c r="AM62" s="11">
        <v>-0.7</v>
      </c>
      <c r="AN62" s="11">
        <v>9.4</v>
      </c>
      <c r="AO62" s="11">
        <v>1.2</v>
      </c>
      <c r="AP62" s="11">
        <v>1.9</v>
      </c>
      <c r="AQ62" s="11">
        <v>2.5</v>
      </c>
      <c r="AR62" s="11">
        <v>1.2</v>
      </c>
      <c r="AS62" s="11">
        <v>1.9</v>
      </c>
      <c r="AT62" s="11">
        <v>1.7</v>
      </c>
      <c r="AU62" s="11">
        <v>1.9</v>
      </c>
      <c r="AV62" s="11">
        <v>1.4319999999999999</v>
      </c>
      <c r="AW62" s="11">
        <v>2</v>
      </c>
      <c r="AX62" s="11">
        <v>3.6</v>
      </c>
      <c r="AY62" s="11">
        <v>3.5</v>
      </c>
      <c r="AZ62" s="11">
        <v>0.4</v>
      </c>
      <c r="BA62" s="11">
        <v>2.69</v>
      </c>
    </row>
    <row r="63" spans="34:53" x14ac:dyDescent="0.25">
      <c r="AH63" s="11">
        <v>3.4</v>
      </c>
      <c r="AI63" s="11">
        <v>3.2</v>
      </c>
      <c r="AJ63" s="11">
        <v>5.6</v>
      </c>
      <c r="AK63" s="11">
        <v>2.4</v>
      </c>
      <c r="AL63" s="11">
        <v>2</v>
      </c>
      <c r="AM63" s="11">
        <v>-0.8</v>
      </c>
      <c r="AN63" s="11">
        <v>9.4</v>
      </c>
      <c r="AO63" s="11">
        <v>1.3</v>
      </c>
      <c r="AP63" s="11">
        <v>1.9</v>
      </c>
      <c r="AQ63" s="11">
        <v>2.2999999999999998</v>
      </c>
      <c r="AR63" s="11">
        <v>1.2</v>
      </c>
      <c r="AS63" s="11">
        <v>1.6</v>
      </c>
      <c r="AT63" s="11">
        <v>1.7</v>
      </c>
      <c r="AU63" s="11">
        <v>1.6</v>
      </c>
      <c r="AV63" s="11">
        <v>1.4319999999999999</v>
      </c>
      <c r="AW63" s="11">
        <v>1.8</v>
      </c>
      <c r="AX63" s="11">
        <v>3.6</v>
      </c>
      <c r="AY63" s="11">
        <v>3.4</v>
      </c>
      <c r="AZ63" s="11">
        <v>0.4</v>
      </c>
      <c r="BA63" s="11">
        <v>2.56</v>
      </c>
    </row>
    <row r="64" spans="34:53" x14ac:dyDescent="0.25">
      <c r="AH64" s="11">
        <v>3</v>
      </c>
      <c r="AI64" s="11">
        <v>3.3</v>
      </c>
      <c r="AJ64" s="11">
        <v>6.8</v>
      </c>
      <c r="AK64" s="11">
        <v>2.2000000000000002</v>
      </c>
      <c r="AL64" s="11">
        <v>2.4</v>
      </c>
      <c r="AM64" s="11">
        <v>-0.1</v>
      </c>
      <c r="AN64" s="11">
        <v>12.4</v>
      </c>
      <c r="AO64" s="11">
        <v>1.6</v>
      </c>
      <c r="AP64" s="11">
        <v>2.2000000000000002</v>
      </c>
      <c r="AQ64" s="11">
        <v>2.2999999999999998</v>
      </c>
      <c r="AR64" s="11">
        <v>1.2</v>
      </c>
      <c r="AS64" s="11">
        <v>1.4</v>
      </c>
      <c r="AT64" s="11">
        <v>1.7</v>
      </c>
      <c r="AU64" s="11">
        <v>1.6</v>
      </c>
      <c r="AV64" s="11">
        <v>1.321</v>
      </c>
      <c r="AW64" s="11">
        <v>2</v>
      </c>
      <c r="AX64" s="11">
        <v>3.9</v>
      </c>
      <c r="AY64" s="11">
        <v>3.7</v>
      </c>
      <c r="AZ64" s="11">
        <v>0.8</v>
      </c>
      <c r="BA64" s="11">
        <v>2.58</v>
      </c>
    </row>
    <row r="65" spans="34:53" x14ac:dyDescent="0.25">
      <c r="AH65" s="11">
        <v>3</v>
      </c>
      <c r="AI65" s="11">
        <v>3.3</v>
      </c>
      <c r="AJ65" s="11">
        <v>6.8</v>
      </c>
      <c r="AK65" s="11">
        <v>2.4</v>
      </c>
      <c r="AL65" s="11">
        <v>2.4</v>
      </c>
      <c r="AM65" s="11">
        <v>-0.1</v>
      </c>
      <c r="AN65" s="11">
        <v>12.4</v>
      </c>
      <c r="AO65" s="11">
        <v>1.9</v>
      </c>
      <c r="AP65" s="11">
        <v>2.2000000000000002</v>
      </c>
      <c r="AQ65" s="11">
        <v>2.4</v>
      </c>
      <c r="AR65" s="11">
        <v>1.2</v>
      </c>
      <c r="AS65" s="11">
        <v>1.8</v>
      </c>
      <c r="AT65" s="11">
        <v>1.7</v>
      </c>
      <c r="AU65" s="11">
        <v>2.1</v>
      </c>
      <c r="AV65" s="11">
        <v>1.321</v>
      </c>
      <c r="AW65" s="11">
        <v>2.2999999999999998</v>
      </c>
      <c r="AX65" s="11">
        <v>3.9</v>
      </c>
      <c r="AY65" s="11">
        <v>4.2</v>
      </c>
      <c r="AZ65" s="11">
        <v>0.8</v>
      </c>
      <c r="BA65" s="11">
        <v>2.7</v>
      </c>
    </row>
    <row r="66" spans="34:53" x14ac:dyDescent="0.25">
      <c r="AH66" s="11">
        <v>3</v>
      </c>
      <c r="AI66" s="11">
        <v>3.3</v>
      </c>
      <c r="AJ66" s="11">
        <v>6.8</v>
      </c>
      <c r="AK66" s="11">
        <v>2.4</v>
      </c>
      <c r="AL66" s="11">
        <v>2.4</v>
      </c>
      <c r="AM66" s="11">
        <v>-0.1</v>
      </c>
      <c r="AN66" s="11">
        <v>12.4</v>
      </c>
      <c r="AO66" s="11">
        <v>0.9</v>
      </c>
      <c r="AP66" s="11">
        <v>2.2000000000000002</v>
      </c>
      <c r="AQ66" s="11">
        <v>2.4</v>
      </c>
      <c r="AR66" s="11">
        <v>1.2</v>
      </c>
      <c r="AS66" s="11">
        <v>1.9</v>
      </c>
      <c r="AT66" s="11">
        <v>1.7</v>
      </c>
      <c r="AU66" s="11">
        <v>1.8</v>
      </c>
      <c r="AV66" s="11">
        <v>1.321</v>
      </c>
      <c r="AW66" s="11">
        <v>2.1</v>
      </c>
      <c r="AX66" s="11">
        <v>3.9</v>
      </c>
      <c r="AY66" s="11">
        <v>4.0999999999999996</v>
      </c>
      <c r="AZ66" s="11">
        <v>0.8</v>
      </c>
      <c r="BA66" s="11">
        <v>2.96</v>
      </c>
    </row>
    <row r="67" spans="34:53" x14ac:dyDescent="0.25">
      <c r="AH67" s="11">
        <v>3.2</v>
      </c>
      <c r="AI67" s="11">
        <v>3.2</v>
      </c>
      <c r="AJ67" s="11">
        <v>6.5</v>
      </c>
      <c r="AK67" s="11">
        <v>2.4</v>
      </c>
      <c r="AL67" s="11">
        <v>2.5</v>
      </c>
      <c r="AM67" s="11">
        <v>-0.2</v>
      </c>
      <c r="AN67" s="11">
        <v>12.5</v>
      </c>
      <c r="AO67" s="11">
        <v>0.8</v>
      </c>
      <c r="AP67" s="11">
        <v>2.9</v>
      </c>
      <c r="AQ67" s="11">
        <v>2.2000000000000002</v>
      </c>
      <c r="AR67" s="11">
        <v>4.3</v>
      </c>
      <c r="AS67" s="11">
        <v>1.4</v>
      </c>
      <c r="AT67" s="11">
        <v>2.2000000000000002</v>
      </c>
      <c r="AU67" s="11">
        <v>1.5</v>
      </c>
      <c r="AV67" s="11">
        <v>1.7490000000000001</v>
      </c>
      <c r="AW67" s="11">
        <v>2.1</v>
      </c>
      <c r="AX67" s="11">
        <v>4.0999999999999996</v>
      </c>
      <c r="AY67" s="11">
        <v>3.9</v>
      </c>
      <c r="AZ67" s="11">
        <v>0.8</v>
      </c>
      <c r="BA67" s="11">
        <v>3.9</v>
      </c>
    </row>
    <row r="68" spans="34:53" x14ac:dyDescent="0.25">
      <c r="AH68" s="11">
        <v>3.2</v>
      </c>
      <c r="AI68" s="11">
        <v>3.2</v>
      </c>
      <c r="AJ68" s="11">
        <v>6.5</v>
      </c>
      <c r="AK68" s="11">
        <v>2.6</v>
      </c>
      <c r="AL68" s="11">
        <v>2.5</v>
      </c>
      <c r="AM68" s="11">
        <v>-0.1</v>
      </c>
      <c r="AN68" s="11">
        <v>12.5</v>
      </c>
      <c r="AO68" s="11">
        <v>1.2</v>
      </c>
      <c r="AP68" s="11">
        <v>2.9</v>
      </c>
      <c r="AQ68" s="11">
        <v>2.4</v>
      </c>
      <c r="AR68" s="11">
        <v>4.3</v>
      </c>
      <c r="AS68" s="11">
        <v>2</v>
      </c>
      <c r="AT68" s="11">
        <v>2.2000000000000002</v>
      </c>
      <c r="AU68" s="11">
        <v>1.7</v>
      </c>
      <c r="AV68" s="11">
        <v>1.7490000000000001</v>
      </c>
      <c r="AW68" s="11">
        <v>1.9</v>
      </c>
      <c r="AX68" s="11">
        <v>4.0999999999999996</v>
      </c>
      <c r="AY68" s="11">
        <v>3.9</v>
      </c>
      <c r="AZ68" s="11">
        <v>0.8</v>
      </c>
      <c r="BA68" s="11">
        <v>3.73</v>
      </c>
    </row>
    <row r="69" spans="34:53" x14ac:dyDescent="0.25">
      <c r="AH69" s="11">
        <v>3.2</v>
      </c>
      <c r="AI69" s="11">
        <v>3.2</v>
      </c>
      <c r="AJ69" s="11">
        <v>6.5</v>
      </c>
      <c r="AK69" s="11">
        <v>3</v>
      </c>
      <c r="AL69" s="11">
        <v>2.5</v>
      </c>
      <c r="AM69" s="11">
        <v>0.1</v>
      </c>
      <c r="AN69" s="11">
        <v>12.5</v>
      </c>
      <c r="AO69" s="11">
        <v>1.4</v>
      </c>
      <c r="AP69" s="11">
        <v>2.9</v>
      </c>
      <c r="AQ69" s="11">
        <v>2.5</v>
      </c>
      <c r="AR69" s="11">
        <v>4.3</v>
      </c>
      <c r="AS69" s="11">
        <v>1.9</v>
      </c>
      <c r="AT69" s="11">
        <v>2.2000000000000002</v>
      </c>
      <c r="AU69" s="11">
        <v>2.1</v>
      </c>
      <c r="AV69" s="11">
        <v>1.7490000000000001</v>
      </c>
      <c r="AW69" s="11">
        <v>2.1</v>
      </c>
      <c r="AX69" s="11">
        <v>4.0999999999999996</v>
      </c>
      <c r="AY69" s="11">
        <v>4.0999999999999996</v>
      </c>
      <c r="AZ69" s="11">
        <v>0.8</v>
      </c>
      <c r="BA69" s="11">
        <v>3.75</v>
      </c>
    </row>
    <row r="70" spans="34:53" x14ac:dyDescent="0.25">
      <c r="AH70" s="11">
        <v>3</v>
      </c>
      <c r="AI70" s="11">
        <v>3.4</v>
      </c>
      <c r="AJ70" s="11">
        <v>5.6</v>
      </c>
      <c r="AK70" s="11">
        <v>3.3</v>
      </c>
      <c r="AL70" s="11">
        <v>1.4</v>
      </c>
      <c r="AM70" s="11">
        <v>0.5</v>
      </c>
      <c r="AN70" s="11">
        <v>13.7</v>
      </c>
      <c r="AO70" s="11">
        <v>1.5</v>
      </c>
      <c r="AP70" s="11">
        <v>3.4</v>
      </c>
      <c r="AQ70" s="11">
        <v>2.5</v>
      </c>
      <c r="AR70" s="11">
        <v>2.7</v>
      </c>
      <c r="AS70" s="11">
        <v>1.9</v>
      </c>
      <c r="AT70" s="11">
        <v>3.1</v>
      </c>
      <c r="AU70" s="11">
        <v>2</v>
      </c>
      <c r="AV70" s="11">
        <v>1.6779999999999999</v>
      </c>
      <c r="AW70" s="11">
        <v>2.1</v>
      </c>
      <c r="AX70" s="11">
        <v>4.2</v>
      </c>
      <c r="AY70" s="11">
        <v>4</v>
      </c>
      <c r="AZ70" s="11">
        <v>1.4</v>
      </c>
      <c r="BA70" s="11">
        <v>3.67</v>
      </c>
    </row>
    <row r="71" spans="34:53" x14ac:dyDescent="0.25">
      <c r="AH71" s="11">
        <v>3</v>
      </c>
      <c r="AI71" s="11">
        <v>3.4</v>
      </c>
      <c r="AJ71" s="11">
        <v>5.6</v>
      </c>
      <c r="AK71" s="11">
        <v>3.3</v>
      </c>
      <c r="AL71" s="11">
        <v>1.4</v>
      </c>
      <c r="AM71" s="11">
        <v>0.3</v>
      </c>
      <c r="AN71" s="11">
        <v>13.7</v>
      </c>
      <c r="AO71" s="11">
        <v>1</v>
      </c>
      <c r="AP71" s="11">
        <v>3.4</v>
      </c>
      <c r="AQ71" s="11">
        <v>2.4</v>
      </c>
      <c r="AR71" s="11">
        <v>2.7</v>
      </c>
      <c r="AS71" s="11">
        <v>1.9</v>
      </c>
      <c r="AT71" s="11">
        <v>3.1</v>
      </c>
      <c r="AU71" s="11">
        <v>1.9</v>
      </c>
      <c r="AV71" s="11">
        <v>1.6779999999999999</v>
      </c>
      <c r="AW71" s="11">
        <v>2.1</v>
      </c>
      <c r="AX71" s="11">
        <v>4.2</v>
      </c>
      <c r="AY71" s="11">
        <v>4</v>
      </c>
      <c r="AZ71" s="11">
        <v>1.4</v>
      </c>
      <c r="BA71" s="11">
        <v>3.12</v>
      </c>
    </row>
    <row r="72" spans="34:53" x14ac:dyDescent="0.25">
      <c r="AH72" s="11">
        <v>3</v>
      </c>
      <c r="AI72" s="11">
        <v>3.4</v>
      </c>
      <c r="AJ72" s="11">
        <v>5.6</v>
      </c>
      <c r="AK72" s="11">
        <v>3.4</v>
      </c>
      <c r="AL72" s="11">
        <v>1.4</v>
      </c>
      <c r="AM72" s="11">
        <v>0.9</v>
      </c>
      <c r="AN72" s="11">
        <v>13.7</v>
      </c>
      <c r="AO72" s="11">
        <v>1.3</v>
      </c>
      <c r="AP72" s="11">
        <v>3.4</v>
      </c>
      <c r="AQ72" s="11">
        <v>2.2999999999999998</v>
      </c>
      <c r="AR72" s="11">
        <v>2.7</v>
      </c>
      <c r="AS72" s="11">
        <v>1.6</v>
      </c>
      <c r="AT72" s="11">
        <v>3.1</v>
      </c>
      <c r="AU72" s="11">
        <v>1.9</v>
      </c>
      <c r="AV72" s="11">
        <v>1.6779999999999999</v>
      </c>
      <c r="AW72" s="11">
        <v>2.1</v>
      </c>
      <c r="AX72" s="11">
        <v>4.2</v>
      </c>
      <c r="AY72" s="11">
        <v>3.8</v>
      </c>
      <c r="AZ72" s="11">
        <v>1.4</v>
      </c>
      <c r="BA72" s="11">
        <v>2.85</v>
      </c>
    </row>
    <row r="73" spans="34:53" x14ac:dyDescent="0.25">
      <c r="AH73" s="11">
        <v>2.2999999999999998</v>
      </c>
      <c r="AI73" s="11">
        <v>3.1</v>
      </c>
      <c r="AJ73" s="11">
        <v>5.8</v>
      </c>
      <c r="AK73" s="11">
        <v>3.6</v>
      </c>
      <c r="AL73" s="11">
        <v>0.2</v>
      </c>
      <c r="AM73" s="11">
        <v>0.6</v>
      </c>
      <c r="AN73" s="11">
        <v>12.2</v>
      </c>
      <c r="AO73" s="11">
        <v>1.5</v>
      </c>
      <c r="AP73" s="11">
        <v>3.2</v>
      </c>
      <c r="AQ73" s="11">
        <v>1.8</v>
      </c>
      <c r="AR73" s="11">
        <v>3.5</v>
      </c>
      <c r="AS73" s="11">
        <v>1.2</v>
      </c>
      <c r="AT73" s="11">
        <v>2.6</v>
      </c>
      <c r="AU73" s="11">
        <v>1.3</v>
      </c>
      <c r="AV73" s="11">
        <v>1.48</v>
      </c>
      <c r="AW73" s="11">
        <v>2</v>
      </c>
      <c r="AX73" s="11">
        <v>4.0999999999999996</v>
      </c>
      <c r="AY73" s="11">
        <v>2.9</v>
      </c>
      <c r="AZ73" s="11">
        <v>1.8</v>
      </c>
      <c r="BA73" s="11">
        <v>3.08</v>
      </c>
    </row>
    <row r="74" spans="34:53" x14ac:dyDescent="0.25">
      <c r="AH74" s="11">
        <v>2.2999999999999998</v>
      </c>
      <c r="AI74" s="11">
        <v>3.1</v>
      </c>
      <c r="AJ74" s="11">
        <v>5.8</v>
      </c>
      <c r="AK74" s="11">
        <v>3.7</v>
      </c>
      <c r="AL74" s="11">
        <v>0.2</v>
      </c>
      <c r="AM74" s="11">
        <v>0.4</v>
      </c>
      <c r="AN74" s="11">
        <v>12.2</v>
      </c>
      <c r="AO74" s="11">
        <v>1.4</v>
      </c>
      <c r="AP74" s="11">
        <v>3.2</v>
      </c>
      <c r="AQ74" s="11">
        <v>1.6</v>
      </c>
      <c r="AR74" s="11">
        <v>3.5</v>
      </c>
      <c r="AS74" s="11">
        <v>1</v>
      </c>
      <c r="AT74" s="11">
        <v>2.6</v>
      </c>
      <c r="AU74" s="11">
        <v>1.1000000000000001</v>
      </c>
      <c r="AV74" s="11">
        <v>1.48</v>
      </c>
      <c r="AW74" s="11">
        <v>1.8</v>
      </c>
      <c r="AX74" s="11">
        <v>4.0999999999999996</v>
      </c>
      <c r="AY74" s="11">
        <v>2.6</v>
      </c>
      <c r="AZ74" s="11">
        <v>1.8</v>
      </c>
      <c r="BA74" s="11">
        <v>2.67</v>
      </c>
    </row>
    <row r="75" spans="34:53" x14ac:dyDescent="0.25">
      <c r="AH75" s="11">
        <v>2.2999999999999998</v>
      </c>
      <c r="AI75" s="11">
        <v>3.1</v>
      </c>
      <c r="AJ75" s="11">
        <v>5.8</v>
      </c>
      <c r="AK75" s="11">
        <v>3.9</v>
      </c>
      <c r="AL75" s="11">
        <v>0.2</v>
      </c>
      <c r="AM75" s="11">
        <v>0.3</v>
      </c>
      <c r="AN75" s="11">
        <v>12.2</v>
      </c>
      <c r="AO75" s="11">
        <v>1.9</v>
      </c>
      <c r="AP75" s="11">
        <v>3.2</v>
      </c>
      <c r="AQ75" s="11">
        <v>1.8</v>
      </c>
      <c r="AR75" s="11">
        <v>3.5</v>
      </c>
      <c r="AS75" s="11">
        <v>1.4</v>
      </c>
      <c r="AT75" s="11">
        <v>2.6</v>
      </c>
      <c r="AU75" s="11">
        <v>1.4</v>
      </c>
      <c r="AV75" s="11">
        <v>1.48</v>
      </c>
      <c r="AW75" s="11">
        <v>1.8</v>
      </c>
      <c r="AX75" s="11">
        <v>4.0999999999999996</v>
      </c>
      <c r="AY75" s="11">
        <v>2.7</v>
      </c>
      <c r="AZ75" s="11">
        <v>1.8</v>
      </c>
      <c r="BA75" s="11">
        <v>2.38</v>
      </c>
    </row>
    <row r="76" spans="34:53" x14ac:dyDescent="0.25">
      <c r="AH76" s="11">
        <v>2.6</v>
      </c>
      <c r="AI76" s="11">
        <v>2.7</v>
      </c>
      <c r="AJ76" s="11">
        <v>4.4000000000000004</v>
      </c>
      <c r="AK76" s="11">
        <v>4.4000000000000004</v>
      </c>
      <c r="AL76" s="11">
        <v>1.5</v>
      </c>
      <c r="AM76" s="11">
        <v>0.3</v>
      </c>
      <c r="AN76" s="11">
        <v>12.5</v>
      </c>
      <c r="AO76" s="11">
        <v>2.8</v>
      </c>
      <c r="AP76" s="11">
        <v>3.8</v>
      </c>
      <c r="AQ76" s="11">
        <v>1.9</v>
      </c>
      <c r="AR76" s="11">
        <v>4.7</v>
      </c>
      <c r="AS76" s="11">
        <v>1.4</v>
      </c>
      <c r="AT76" s="11">
        <v>2.6</v>
      </c>
      <c r="AU76" s="11">
        <v>1.5</v>
      </c>
      <c r="AV76" s="11">
        <v>2.6150000000000002</v>
      </c>
      <c r="AW76" s="11">
        <v>1.6</v>
      </c>
      <c r="AX76" s="11">
        <v>4.0999999999999996</v>
      </c>
      <c r="AY76" s="11">
        <v>2.7</v>
      </c>
      <c r="AZ76" s="11">
        <v>2.4</v>
      </c>
      <c r="BA76" s="11">
        <v>2.5099999999999998</v>
      </c>
    </row>
    <row r="77" spans="34:53" x14ac:dyDescent="0.25">
      <c r="AH77" s="11">
        <v>2.6</v>
      </c>
      <c r="AI77" s="11">
        <v>2.7</v>
      </c>
      <c r="AJ77" s="11">
        <v>4.4000000000000004</v>
      </c>
      <c r="AK77" s="11">
        <v>4.2</v>
      </c>
      <c r="AL77" s="11">
        <v>1.5</v>
      </c>
      <c r="AM77" s="11">
        <v>0</v>
      </c>
      <c r="AN77" s="11">
        <v>12.5</v>
      </c>
      <c r="AO77" s="11">
        <v>2.2000000000000002</v>
      </c>
      <c r="AP77" s="11">
        <v>3.8</v>
      </c>
      <c r="AQ77" s="11">
        <v>1.8</v>
      </c>
      <c r="AR77" s="11">
        <v>4.7</v>
      </c>
      <c r="AS77" s="11">
        <v>1.7</v>
      </c>
      <c r="AT77" s="11">
        <v>2.6</v>
      </c>
      <c r="AU77" s="11">
        <v>1.2</v>
      </c>
      <c r="AV77" s="11">
        <v>2.6150000000000002</v>
      </c>
      <c r="AW77" s="11">
        <v>1.5</v>
      </c>
      <c r="AX77" s="11">
        <v>4.0999999999999996</v>
      </c>
      <c r="AY77" s="11">
        <v>2.4</v>
      </c>
      <c r="AZ77" s="11">
        <v>2.4</v>
      </c>
      <c r="BA77" s="11">
        <v>2.57</v>
      </c>
    </row>
    <row r="78" spans="34:53" x14ac:dyDescent="0.25">
      <c r="AH78" s="11">
        <v>2.6</v>
      </c>
      <c r="AI78" s="11">
        <v>2.7</v>
      </c>
      <c r="AJ78" s="11">
        <v>4.4000000000000004</v>
      </c>
      <c r="AK78" s="11">
        <v>4.5999999999999996</v>
      </c>
      <c r="AL78" s="11">
        <v>1.5</v>
      </c>
      <c r="AM78" s="11">
        <v>-0.2</v>
      </c>
      <c r="AN78" s="11">
        <v>12.5</v>
      </c>
      <c r="AO78" s="11">
        <v>2.7</v>
      </c>
      <c r="AP78" s="11">
        <v>3.8</v>
      </c>
      <c r="AQ78" s="11">
        <v>1.8</v>
      </c>
      <c r="AR78" s="11">
        <v>4.7</v>
      </c>
      <c r="AS78" s="11">
        <v>1.7</v>
      </c>
      <c r="AT78" s="11">
        <v>2.6</v>
      </c>
      <c r="AU78" s="11">
        <v>1</v>
      </c>
      <c r="AV78" s="11">
        <v>2.6150000000000002</v>
      </c>
      <c r="AW78" s="11">
        <v>1.5</v>
      </c>
      <c r="AX78" s="11">
        <v>4.0999999999999996</v>
      </c>
      <c r="AY78" s="11">
        <v>2.4</v>
      </c>
      <c r="AZ78" s="11">
        <v>2.4</v>
      </c>
      <c r="BA78" s="11">
        <v>2.35</v>
      </c>
    </row>
    <row r="79" spans="34:53" x14ac:dyDescent="0.25">
      <c r="AH79" s="11">
        <v>1.5</v>
      </c>
      <c r="AI79" s="11">
        <v>2.9</v>
      </c>
      <c r="AJ79" s="11">
        <v>5</v>
      </c>
      <c r="AK79" s="11">
        <v>4.8</v>
      </c>
      <c r="AL79" s="11">
        <v>2.2000000000000002</v>
      </c>
      <c r="AM79" s="11">
        <v>-0.1</v>
      </c>
      <c r="AN79" s="11">
        <v>13.8</v>
      </c>
      <c r="AO79" s="11">
        <v>3.3</v>
      </c>
      <c r="AP79" s="11">
        <v>3.5</v>
      </c>
      <c r="AQ79" s="11">
        <v>1.9</v>
      </c>
      <c r="AR79" s="11">
        <v>4</v>
      </c>
      <c r="AS79" s="11">
        <v>1.9</v>
      </c>
      <c r="AT79" s="11">
        <v>2.6</v>
      </c>
      <c r="AU79" s="11">
        <v>1.2</v>
      </c>
      <c r="AV79" s="11">
        <v>2.2330000000000001</v>
      </c>
      <c r="AW79" s="11">
        <v>1.5</v>
      </c>
      <c r="AX79" s="11">
        <v>3.8</v>
      </c>
      <c r="AY79" s="11">
        <v>2.5</v>
      </c>
      <c r="AZ79" s="11">
        <v>2.6</v>
      </c>
      <c r="BA79" s="11">
        <v>2.33</v>
      </c>
    </row>
    <row r="80" spans="34:53" x14ac:dyDescent="0.25">
      <c r="AH80" s="11">
        <v>1.5</v>
      </c>
      <c r="AI80" s="11">
        <v>2.9</v>
      </c>
      <c r="AJ80" s="11">
        <v>5</v>
      </c>
      <c r="AK80" s="11">
        <v>4.5</v>
      </c>
      <c r="AL80" s="11">
        <v>2.2000000000000002</v>
      </c>
      <c r="AM80" s="11">
        <v>0</v>
      </c>
      <c r="AN80" s="11">
        <v>13.8</v>
      </c>
      <c r="AO80" s="11">
        <v>3</v>
      </c>
      <c r="AP80" s="11">
        <v>3.5</v>
      </c>
      <c r="AQ80" s="11">
        <v>1.9</v>
      </c>
      <c r="AR80" s="11">
        <v>4</v>
      </c>
      <c r="AS80" s="11">
        <v>2.1</v>
      </c>
      <c r="AT80" s="11">
        <v>2.6</v>
      </c>
      <c r="AU80" s="11">
        <v>1.3</v>
      </c>
      <c r="AV80" s="11">
        <v>2.2330000000000001</v>
      </c>
      <c r="AW80" s="11">
        <v>1.5</v>
      </c>
      <c r="AX80" s="11">
        <v>3.8</v>
      </c>
      <c r="AY80" s="11">
        <v>2.5</v>
      </c>
      <c r="AZ80" s="11">
        <v>2.6</v>
      </c>
      <c r="BA80" s="11">
        <v>2.74</v>
      </c>
    </row>
    <row r="81" spans="34:53" x14ac:dyDescent="0.25">
      <c r="AH81" s="11">
        <v>1.5</v>
      </c>
      <c r="AI81" s="11">
        <v>2.9</v>
      </c>
      <c r="AJ81" s="11">
        <v>5</v>
      </c>
      <c r="AK81" s="11">
        <v>4.3</v>
      </c>
      <c r="AL81" s="11">
        <v>2.2000000000000002</v>
      </c>
      <c r="AM81" s="11">
        <v>0</v>
      </c>
      <c r="AN81" s="11">
        <v>13.8</v>
      </c>
      <c r="AO81" s="11">
        <v>3.4</v>
      </c>
      <c r="AP81" s="11">
        <v>3.5</v>
      </c>
      <c r="AQ81" s="11">
        <v>1.9</v>
      </c>
      <c r="AR81" s="11">
        <v>4</v>
      </c>
      <c r="AS81" s="11">
        <v>2.1</v>
      </c>
      <c r="AT81" s="11">
        <v>2.6</v>
      </c>
      <c r="AU81" s="11">
        <v>1.1000000000000001</v>
      </c>
      <c r="AV81" s="11">
        <v>2.2330000000000001</v>
      </c>
      <c r="AW81" s="11">
        <v>1.4</v>
      </c>
      <c r="AX81" s="11">
        <v>3.8</v>
      </c>
      <c r="AY81" s="11">
        <v>2.4</v>
      </c>
      <c r="AZ81" s="11">
        <v>2.6</v>
      </c>
      <c r="BA81" s="11">
        <v>2.4500000000000002</v>
      </c>
    </row>
    <row r="82" spans="34:53" x14ac:dyDescent="0.25">
      <c r="AH82" s="11">
        <v>1.9</v>
      </c>
      <c r="AI82" s="11">
        <v>2.7</v>
      </c>
      <c r="AJ82" s="11">
        <v>4.5999999999999996</v>
      </c>
      <c r="AK82" s="11">
        <v>4.4000000000000004</v>
      </c>
      <c r="AL82" s="11">
        <v>1.8</v>
      </c>
      <c r="AM82" s="11">
        <v>-0.2</v>
      </c>
      <c r="AN82" s="11">
        <v>15</v>
      </c>
      <c r="AO82" s="11">
        <v>4.4000000000000004</v>
      </c>
      <c r="AP82" s="11">
        <v>3.1</v>
      </c>
      <c r="AQ82" s="11">
        <v>1.9</v>
      </c>
      <c r="AR82" s="11">
        <v>3.1</v>
      </c>
      <c r="AS82" s="11">
        <v>1.9</v>
      </c>
      <c r="AT82" s="11">
        <v>2.2999999999999998</v>
      </c>
      <c r="AU82" s="11">
        <v>1.2</v>
      </c>
      <c r="AV82" s="11">
        <v>1.73</v>
      </c>
      <c r="AW82" s="11">
        <v>1.5</v>
      </c>
      <c r="AX82" s="11">
        <v>3.8</v>
      </c>
      <c r="AY82" s="11">
        <v>2.4</v>
      </c>
      <c r="AZ82" s="11">
        <v>2.1</v>
      </c>
      <c r="BA82" s="11">
        <v>2.44</v>
      </c>
    </row>
    <row r="83" spans="34:53" x14ac:dyDescent="0.25">
      <c r="AH83" s="11">
        <v>1.9</v>
      </c>
      <c r="AI83" s="11">
        <v>2.7</v>
      </c>
      <c r="AJ83" s="11">
        <v>4.5999999999999996</v>
      </c>
      <c r="AK83" s="11">
        <v>3.8</v>
      </c>
      <c r="AL83" s="11">
        <v>1.8</v>
      </c>
      <c r="AM83" s="11">
        <v>0</v>
      </c>
      <c r="AN83" s="11">
        <v>15</v>
      </c>
      <c r="AO83" s="11">
        <v>5.6</v>
      </c>
      <c r="AP83" s="11">
        <v>3.1</v>
      </c>
      <c r="AQ83" s="11">
        <v>1.8</v>
      </c>
      <c r="AR83" s="11">
        <v>3.1</v>
      </c>
      <c r="AS83" s="11">
        <v>2</v>
      </c>
      <c r="AT83" s="11">
        <v>2.2999999999999998</v>
      </c>
      <c r="AU83" s="11">
        <v>1.1000000000000001</v>
      </c>
      <c r="AV83" s="11">
        <v>1.73</v>
      </c>
      <c r="AW83" s="11">
        <v>1.5</v>
      </c>
      <c r="AX83" s="11">
        <v>3.8</v>
      </c>
      <c r="AY83" s="11">
        <v>2.2999999999999998</v>
      </c>
      <c r="AZ83" s="11">
        <v>2.1</v>
      </c>
      <c r="BA83" s="11">
        <v>2.38</v>
      </c>
    </row>
    <row r="84" spans="34:53" x14ac:dyDescent="0.25">
      <c r="AH84" s="11">
        <v>1.9</v>
      </c>
      <c r="AI84" s="11">
        <v>2.7</v>
      </c>
      <c r="AJ84" s="11">
        <v>4.5999999999999996</v>
      </c>
      <c r="AK84" s="11">
        <v>4.0999999999999996</v>
      </c>
      <c r="AL84" s="11">
        <v>1.8</v>
      </c>
      <c r="AM84" s="11">
        <v>-0.2</v>
      </c>
      <c r="AN84" s="11">
        <v>15</v>
      </c>
      <c r="AO84" s="11">
        <v>6.5</v>
      </c>
      <c r="AP84" s="11">
        <v>3.1</v>
      </c>
      <c r="AQ84" s="11">
        <v>1.7</v>
      </c>
      <c r="AR84" s="11">
        <v>3.1</v>
      </c>
      <c r="AS84" s="11">
        <v>2</v>
      </c>
      <c r="AT84" s="11">
        <v>2.2999999999999998</v>
      </c>
      <c r="AU84" s="11">
        <v>1.2</v>
      </c>
      <c r="AV84" s="11">
        <v>1.73</v>
      </c>
      <c r="AW84" s="11">
        <v>1.6</v>
      </c>
      <c r="AX84" s="11">
        <v>3.8</v>
      </c>
      <c r="AY84" s="11">
        <v>2.2000000000000002</v>
      </c>
      <c r="AZ84" s="11">
        <v>2.1</v>
      </c>
      <c r="BA84" s="11">
        <v>2.06</v>
      </c>
    </row>
    <row r="85" spans="34:53" x14ac:dyDescent="0.25">
      <c r="AH85" s="11">
        <v>2.4</v>
      </c>
      <c r="AI85" s="11">
        <v>2.5</v>
      </c>
      <c r="AJ85" s="11">
        <v>5.3</v>
      </c>
      <c r="AK85" s="11">
        <v>3.9</v>
      </c>
      <c r="AL85" s="11">
        <v>1.4</v>
      </c>
      <c r="AM85" s="11">
        <v>-0.2</v>
      </c>
      <c r="AN85" s="11">
        <v>14.3</v>
      </c>
      <c r="AO85" s="11">
        <v>6.2</v>
      </c>
      <c r="AP85" s="11">
        <v>3</v>
      </c>
      <c r="AQ85" s="11">
        <v>2.1</v>
      </c>
      <c r="AR85" s="11">
        <v>2.9</v>
      </c>
      <c r="AS85" s="11">
        <v>2.6</v>
      </c>
      <c r="AT85" s="11">
        <v>2.7</v>
      </c>
      <c r="AU85" s="11">
        <v>1.5</v>
      </c>
      <c r="AV85" s="11">
        <v>1.5249999999999999</v>
      </c>
      <c r="AW85" s="11">
        <v>1.6</v>
      </c>
      <c r="AX85" s="11">
        <v>3.6</v>
      </c>
      <c r="AY85" s="11">
        <v>2.7</v>
      </c>
      <c r="AZ85" s="11">
        <v>2.4</v>
      </c>
      <c r="BA85" s="11">
        <v>2.09</v>
      </c>
    </row>
    <row r="86" spans="34:53" x14ac:dyDescent="0.25">
      <c r="AH86" s="11">
        <v>2.4</v>
      </c>
      <c r="AI86" s="11">
        <v>2.5</v>
      </c>
      <c r="AJ86" s="11">
        <v>5.3</v>
      </c>
      <c r="AK86" s="11">
        <v>4.2</v>
      </c>
      <c r="AL86" s="11">
        <v>1.4</v>
      </c>
      <c r="AM86" s="11">
        <v>0.3</v>
      </c>
      <c r="AN86" s="11">
        <v>14.3</v>
      </c>
      <c r="AO86" s="11">
        <v>6.5</v>
      </c>
      <c r="AP86" s="11">
        <v>3</v>
      </c>
      <c r="AQ86" s="11">
        <v>2.5</v>
      </c>
      <c r="AR86" s="11">
        <v>2.9</v>
      </c>
      <c r="AS86" s="11">
        <v>2.9</v>
      </c>
      <c r="AT86" s="11">
        <v>2.7</v>
      </c>
      <c r="AU86" s="11">
        <v>2</v>
      </c>
      <c r="AV86" s="11">
        <v>1.5249999999999999</v>
      </c>
      <c r="AW86" s="11">
        <v>2.1</v>
      </c>
      <c r="AX86" s="11">
        <v>3.6</v>
      </c>
      <c r="AY86" s="11">
        <v>3.6</v>
      </c>
      <c r="AZ86" s="11">
        <v>2.4</v>
      </c>
      <c r="BA86" s="11">
        <v>2.57</v>
      </c>
    </row>
    <row r="87" spans="34:53" x14ac:dyDescent="0.25">
      <c r="AH87" s="11">
        <v>2.4</v>
      </c>
      <c r="AI87" s="11">
        <v>2.5</v>
      </c>
      <c r="AJ87" s="11">
        <v>5.3</v>
      </c>
      <c r="AK87" s="11">
        <v>4.3</v>
      </c>
      <c r="AL87" s="11">
        <v>1.4</v>
      </c>
      <c r="AM87" s="11">
        <v>0.6</v>
      </c>
      <c r="AN87" s="11">
        <v>14.3</v>
      </c>
      <c r="AO87" s="11">
        <v>6.9</v>
      </c>
      <c r="AP87" s="11">
        <v>3</v>
      </c>
      <c r="AQ87" s="11">
        <v>3.1</v>
      </c>
      <c r="AR87" s="11">
        <v>2.9</v>
      </c>
      <c r="AS87" s="11">
        <v>3.4</v>
      </c>
      <c r="AT87" s="11">
        <v>2.7</v>
      </c>
      <c r="AU87" s="11">
        <v>2.4</v>
      </c>
      <c r="AV87" s="11">
        <v>1.5249999999999999</v>
      </c>
      <c r="AW87" s="11">
        <v>2.4</v>
      </c>
      <c r="AX87" s="11">
        <v>3.6</v>
      </c>
      <c r="AY87" s="11">
        <v>4.0999999999999996</v>
      </c>
      <c r="AZ87" s="11">
        <v>2.4</v>
      </c>
      <c r="BA87" s="11">
        <v>2.79</v>
      </c>
    </row>
    <row r="88" spans="34:53" x14ac:dyDescent="0.25">
      <c r="AH88" s="11">
        <v>2.2000000000000002</v>
      </c>
      <c r="AI88" s="11">
        <v>2.6</v>
      </c>
      <c r="AJ88" s="11">
        <v>5.4</v>
      </c>
      <c r="AK88" s="11">
        <v>4</v>
      </c>
      <c r="AL88" s="11">
        <v>0.6</v>
      </c>
      <c r="AM88" s="11">
        <v>0.7</v>
      </c>
      <c r="AN88" s="11">
        <v>13.9</v>
      </c>
      <c r="AO88" s="11">
        <v>6.5</v>
      </c>
      <c r="AP88" s="11">
        <v>2.2999999999999998</v>
      </c>
      <c r="AQ88" s="11">
        <v>3.1</v>
      </c>
      <c r="AR88" s="11">
        <v>1.9</v>
      </c>
      <c r="AS88" s="11">
        <v>3.2</v>
      </c>
      <c r="AT88" s="11">
        <v>2.1</v>
      </c>
      <c r="AU88" s="11">
        <v>2.6</v>
      </c>
      <c r="AV88" s="11">
        <v>-9.1999999999999998E-2</v>
      </c>
      <c r="AW88" s="11">
        <v>2.6</v>
      </c>
      <c r="AX88" s="11">
        <v>3.3</v>
      </c>
      <c r="AY88" s="11">
        <v>4.3</v>
      </c>
      <c r="AZ88" s="11">
        <v>2.8</v>
      </c>
      <c r="BA88" s="11">
        <v>2.68</v>
      </c>
    </row>
    <row r="89" spans="34:53" x14ac:dyDescent="0.25">
      <c r="AH89" s="11">
        <v>2.2000000000000002</v>
      </c>
      <c r="AI89" s="11">
        <v>2.6</v>
      </c>
      <c r="AJ89" s="11">
        <v>5.4</v>
      </c>
      <c r="AK89" s="11">
        <v>4.0999999999999996</v>
      </c>
      <c r="AL89" s="11">
        <v>0.6</v>
      </c>
      <c r="AM89" s="11">
        <v>0.7</v>
      </c>
      <c r="AN89" s="11">
        <v>13.9</v>
      </c>
      <c r="AO89" s="11">
        <v>7.1</v>
      </c>
      <c r="AP89" s="11">
        <v>2.2999999999999998</v>
      </c>
      <c r="AQ89" s="11">
        <v>3.2</v>
      </c>
      <c r="AR89" s="11">
        <v>1.9</v>
      </c>
      <c r="AS89" s="11">
        <v>2.8</v>
      </c>
      <c r="AT89" s="11">
        <v>2.1</v>
      </c>
      <c r="AU89" s="11">
        <v>2.8</v>
      </c>
      <c r="AV89" s="11">
        <v>-9.1999999999999998E-2</v>
      </c>
      <c r="AW89" s="11">
        <v>2.9</v>
      </c>
      <c r="AX89" s="11">
        <v>3.3</v>
      </c>
      <c r="AY89" s="11">
        <v>4.4000000000000004</v>
      </c>
      <c r="AZ89" s="11">
        <v>2.8</v>
      </c>
      <c r="BA89" s="11">
        <v>2.83</v>
      </c>
    </row>
    <row r="90" spans="34:53" x14ac:dyDescent="0.25">
      <c r="AH90" s="11">
        <v>2.2000000000000002</v>
      </c>
      <c r="AI90" s="11">
        <v>2.6</v>
      </c>
      <c r="AJ90" s="11">
        <v>5.4</v>
      </c>
      <c r="AK90" s="11">
        <v>4.0999999999999996</v>
      </c>
      <c r="AL90" s="11">
        <v>0.6</v>
      </c>
      <c r="AM90" s="11">
        <v>1</v>
      </c>
      <c r="AN90" s="11">
        <v>13.9</v>
      </c>
      <c r="AO90" s="11">
        <v>8.6999999999999993</v>
      </c>
      <c r="AP90" s="11">
        <v>2.2999999999999998</v>
      </c>
      <c r="AQ90" s="11">
        <v>3.3</v>
      </c>
      <c r="AR90" s="11">
        <v>1.9</v>
      </c>
      <c r="AS90" s="11">
        <v>2.8</v>
      </c>
      <c r="AT90" s="11">
        <v>2.1</v>
      </c>
      <c r="AU90" s="11">
        <v>2.8</v>
      </c>
      <c r="AV90" s="11">
        <v>-9.1999999999999998E-2</v>
      </c>
      <c r="AW90" s="11">
        <v>2.9</v>
      </c>
      <c r="AX90" s="11">
        <v>3.3</v>
      </c>
      <c r="AY90" s="11">
        <v>4.5</v>
      </c>
      <c r="AZ90" s="11">
        <v>2.8</v>
      </c>
      <c r="BA90" s="11">
        <v>2.86</v>
      </c>
    </row>
    <row r="91" spans="34:53" x14ac:dyDescent="0.25">
      <c r="AH91" s="11">
        <v>1.4</v>
      </c>
      <c r="AI91" s="11">
        <v>2</v>
      </c>
      <c r="AJ91" s="11">
        <v>6</v>
      </c>
      <c r="AK91" s="11">
        <v>3.8</v>
      </c>
      <c r="AL91" s="11">
        <v>0.4</v>
      </c>
      <c r="AM91" s="11">
        <v>1.2</v>
      </c>
      <c r="AN91" s="11">
        <v>11.5</v>
      </c>
      <c r="AO91" s="11">
        <v>8.3000000000000007</v>
      </c>
      <c r="AP91" s="11">
        <v>2.2000000000000002</v>
      </c>
      <c r="AQ91" s="11">
        <v>3.6</v>
      </c>
      <c r="AR91" s="11">
        <v>2</v>
      </c>
      <c r="AS91" s="11">
        <v>3.1</v>
      </c>
      <c r="AT91" s="11">
        <v>1.8</v>
      </c>
      <c r="AU91" s="11">
        <v>3.2</v>
      </c>
      <c r="AV91" s="11">
        <v>1.179</v>
      </c>
      <c r="AW91" s="11">
        <v>3.2</v>
      </c>
      <c r="AX91" s="11">
        <v>2.5</v>
      </c>
      <c r="AY91" s="11">
        <v>4.5999999999999996</v>
      </c>
      <c r="AZ91" s="11">
        <v>1.8</v>
      </c>
      <c r="BA91" s="11">
        <v>3.1</v>
      </c>
    </row>
    <row r="92" spans="34:53" x14ac:dyDescent="0.25">
      <c r="AH92" s="11">
        <v>1.4</v>
      </c>
      <c r="AI92" s="11">
        <v>2</v>
      </c>
      <c r="AJ92" s="11">
        <v>6</v>
      </c>
      <c r="AK92" s="11">
        <v>4.2</v>
      </c>
      <c r="AL92" s="11">
        <v>0.4</v>
      </c>
      <c r="AM92" s="11">
        <v>0.8</v>
      </c>
      <c r="AN92" s="11">
        <v>11.5</v>
      </c>
      <c r="AO92" s="11">
        <v>8.5</v>
      </c>
      <c r="AP92" s="11">
        <v>2.2000000000000002</v>
      </c>
      <c r="AQ92" s="11">
        <v>3.3</v>
      </c>
      <c r="AR92" s="11">
        <v>2</v>
      </c>
      <c r="AS92" s="11">
        <v>2.5</v>
      </c>
      <c r="AT92" s="11">
        <v>1.8</v>
      </c>
      <c r="AU92" s="11">
        <v>3</v>
      </c>
      <c r="AV92" s="11">
        <v>1.179</v>
      </c>
      <c r="AW92" s="11">
        <v>3.3</v>
      </c>
      <c r="AX92" s="11">
        <v>2.5</v>
      </c>
      <c r="AY92" s="11">
        <v>4.2</v>
      </c>
      <c r="AZ92" s="11">
        <v>1.8</v>
      </c>
      <c r="BA92" s="11">
        <v>2.48</v>
      </c>
    </row>
    <row r="93" spans="34:53" x14ac:dyDescent="0.25">
      <c r="AH93" s="11">
        <v>1.4</v>
      </c>
      <c r="AI93" s="11">
        <v>2</v>
      </c>
      <c r="AJ93" s="11">
        <v>6</v>
      </c>
      <c r="AK93" s="11">
        <v>4.3</v>
      </c>
      <c r="AL93" s="11">
        <v>0.4</v>
      </c>
      <c r="AM93" s="11">
        <v>1.3</v>
      </c>
      <c r="AN93" s="11">
        <v>11.5</v>
      </c>
      <c r="AO93" s="11">
        <v>7.7</v>
      </c>
      <c r="AP93" s="11">
        <v>2.2000000000000002</v>
      </c>
      <c r="AQ93" s="11">
        <v>3.7</v>
      </c>
      <c r="AR93" s="11">
        <v>2</v>
      </c>
      <c r="AS93" s="11">
        <v>3</v>
      </c>
      <c r="AT93" s="11">
        <v>1.8</v>
      </c>
      <c r="AU93" s="11">
        <v>3.3</v>
      </c>
      <c r="AV93" s="11">
        <v>1.179</v>
      </c>
      <c r="AW93" s="11">
        <v>3.5</v>
      </c>
      <c r="AX93" s="11">
        <v>2.5</v>
      </c>
      <c r="AY93" s="11">
        <v>4.7</v>
      </c>
      <c r="AZ93" s="11">
        <v>1.8</v>
      </c>
      <c r="BA93" s="11">
        <v>2.78</v>
      </c>
    </row>
    <row r="94" spans="34:53" x14ac:dyDescent="0.25">
      <c r="AH94" s="11">
        <v>1.4</v>
      </c>
      <c r="AI94" s="11">
        <v>1.8</v>
      </c>
      <c r="AJ94" s="11">
        <v>4</v>
      </c>
      <c r="AK94" s="11">
        <v>4.5999999999999996</v>
      </c>
      <c r="AL94" s="11">
        <v>-0.4</v>
      </c>
      <c r="AM94" s="11">
        <v>2</v>
      </c>
      <c r="AN94" s="11">
        <v>10.9</v>
      </c>
      <c r="AO94" s="11">
        <v>7.1</v>
      </c>
      <c r="AP94" s="11">
        <v>1.1000000000000001</v>
      </c>
      <c r="AQ94" s="11">
        <v>3.9</v>
      </c>
      <c r="AR94" s="11">
        <v>2.9</v>
      </c>
      <c r="AS94" s="11">
        <v>3.2</v>
      </c>
      <c r="AT94" s="11">
        <v>0.6</v>
      </c>
      <c r="AU94" s="11">
        <v>3.6</v>
      </c>
      <c r="AV94" s="11">
        <v>4.2000000000000003E-2</v>
      </c>
      <c r="AW94" s="11">
        <v>3.9</v>
      </c>
      <c r="AX94" s="11">
        <v>1.7</v>
      </c>
      <c r="AY94" s="11">
        <v>5.0999999999999996</v>
      </c>
      <c r="AZ94" s="11">
        <v>0.8</v>
      </c>
      <c r="BA94" s="11">
        <v>3.35</v>
      </c>
    </row>
    <row r="95" spans="34:53" x14ac:dyDescent="0.25">
      <c r="AH95" s="11">
        <v>1.4</v>
      </c>
      <c r="AI95" s="11">
        <v>1.8</v>
      </c>
      <c r="AJ95" s="11">
        <v>4</v>
      </c>
      <c r="AK95" s="11">
        <v>5</v>
      </c>
      <c r="AL95" s="11">
        <v>-0.4</v>
      </c>
      <c r="AM95" s="11">
        <v>2.2999999999999998</v>
      </c>
      <c r="AN95" s="11">
        <v>10.9</v>
      </c>
      <c r="AO95" s="11">
        <v>6.3</v>
      </c>
      <c r="AP95" s="11">
        <v>1.1000000000000001</v>
      </c>
      <c r="AQ95" s="11">
        <v>4.0999999999999996</v>
      </c>
      <c r="AR95" s="11">
        <v>2.9</v>
      </c>
      <c r="AS95" s="11">
        <v>3.3</v>
      </c>
      <c r="AT95" s="11">
        <v>0.6</v>
      </c>
      <c r="AU95" s="11">
        <v>3.6</v>
      </c>
      <c r="AV95" s="11">
        <v>4.2000000000000003E-2</v>
      </c>
      <c r="AW95" s="11">
        <v>4.0999999999999996</v>
      </c>
      <c r="AX95" s="11">
        <v>1.7</v>
      </c>
      <c r="AY95" s="11">
        <v>5.3</v>
      </c>
      <c r="AZ95" s="11">
        <v>0.8</v>
      </c>
      <c r="BA95" s="11">
        <v>3.05</v>
      </c>
    </row>
    <row r="96" spans="34:53" x14ac:dyDescent="0.25">
      <c r="AH96" s="11">
        <v>1.4</v>
      </c>
      <c r="AI96" s="11">
        <v>1.8</v>
      </c>
      <c r="AJ96" s="11">
        <v>4</v>
      </c>
      <c r="AK96" s="11">
        <v>4.8</v>
      </c>
      <c r="AL96" s="11">
        <v>-0.4</v>
      </c>
      <c r="AM96" s="11">
        <v>2.1</v>
      </c>
      <c r="AN96" s="11">
        <v>10.9</v>
      </c>
      <c r="AO96" s="11">
        <v>4.9000000000000004</v>
      </c>
      <c r="AP96" s="11">
        <v>1.1000000000000001</v>
      </c>
      <c r="AQ96" s="11">
        <v>3.8</v>
      </c>
      <c r="AR96" s="11">
        <v>2.9</v>
      </c>
      <c r="AS96" s="11">
        <v>3.1</v>
      </c>
      <c r="AT96" s="11">
        <v>0.6</v>
      </c>
      <c r="AU96" s="11">
        <v>3.2</v>
      </c>
      <c r="AV96" s="11">
        <v>4.2000000000000003E-2</v>
      </c>
      <c r="AW96" s="11">
        <v>3.9</v>
      </c>
      <c r="AX96" s="11">
        <v>1.7</v>
      </c>
      <c r="AY96" s="11">
        <v>4.9000000000000004</v>
      </c>
      <c r="AZ96" s="11">
        <v>0.8</v>
      </c>
      <c r="BA96" s="11">
        <v>3.02</v>
      </c>
    </row>
    <row r="97" spans="34:53" x14ac:dyDescent="0.25">
      <c r="AH97" s="11">
        <v>0.2</v>
      </c>
      <c r="AI97" s="11">
        <v>2.1</v>
      </c>
      <c r="AJ97" s="11">
        <v>3</v>
      </c>
      <c r="AK97" s="11">
        <v>5</v>
      </c>
      <c r="AL97" s="11">
        <v>-1</v>
      </c>
      <c r="AM97" s="11">
        <v>2.1</v>
      </c>
      <c r="AN97" s="11">
        <v>9.5</v>
      </c>
      <c r="AO97" s="11">
        <v>4.5999999999999996</v>
      </c>
      <c r="AP97" s="11">
        <v>0.1</v>
      </c>
      <c r="AQ97" s="11">
        <v>3.6</v>
      </c>
      <c r="AR97" s="11">
        <v>1</v>
      </c>
      <c r="AS97" s="11">
        <v>2.8</v>
      </c>
      <c r="AT97" s="11">
        <v>-0.1</v>
      </c>
      <c r="AU97" s="11">
        <v>3</v>
      </c>
      <c r="AV97" s="11">
        <v>-1.413</v>
      </c>
      <c r="AW97" s="11">
        <v>3.7</v>
      </c>
      <c r="AX97" s="11">
        <v>0.8</v>
      </c>
      <c r="AY97" s="11">
        <v>4.5999999999999996</v>
      </c>
      <c r="AZ97" s="11">
        <v>0.5</v>
      </c>
      <c r="BA97" s="11">
        <v>3.1</v>
      </c>
    </row>
    <row r="98" spans="34:53" x14ac:dyDescent="0.25">
      <c r="AH98" s="11">
        <v>0.2</v>
      </c>
      <c r="AI98" s="11">
        <v>2.1</v>
      </c>
      <c r="AJ98" s="11">
        <v>3</v>
      </c>
      <c r="AK98" s="11">
        <v>4.2</v>
      </c>
      <c r="AL98" s="11">
        <v>-1</v>
      </c>
      <c r="AM98" s="11">
        <v>1.7</v>
      </c>
      <c r="AN98" s="11">
        <v>9.5</v>
      </c>
      <c r="AO98" s="11">
        <v>4</v>
      </c>
      <c r="AP98" s="11">
        <v>0.1</v>
      </c>
      <c r="AQ98" s="11">
        <v>3.2</v>
      </c>
      <c r="AR98" s="11">
        <v>1</v>
      </c>
      <c r="AS98" s="11">
        <v>2.2999999999999998</v>
      </c>
      <c r="AT98" s="11">
        <v>-0.1</v>
      </c>
      <c r="AU98" s="11">
        <v>2.7</v>
      </c>
      <c r="AV98" s="11">
        <v>-1.413</v>
      </c>
      <c r="AW98" s="11">
        <v>3.4</v>
      </c>
      <c r="AX98" s="11">
        <v>0.8</v>
      </c>
      <c r="AY98" s="11">
        <v>3.6</v>
      </c>
      <c r="AZ98" s="11">
        <v>0.5</v>
      </c>
      <c r="BA98" s="11">
        <v>2.38</v>
      </c>
    </row>
    <row r="99" spans="34:53" x14ac:dyDescent="0.25">
      <c r="AH99" s="11">
        <v>0.2</v>
      </c>
      <c r="AI99" s="11">
        <v>2.1</v>
      </c>
      <c r="AJ99" s="11">
        <v>3</v>
      </c>
      <c r="AK99" s="11">
        <v>3</v>
      </c>
      <c r="AL99" s="11">
        <v>-1</v>
      </c>
      <c r="AM99" s="11">
        <v>1</v>
      </c>
      <c r="AN99" s="11">
        <v>9.5</v>
      </c>
      <c r="AO99" s="11">
        <v>2.4</v>
      </c>
      <c r="AP99" s="11">
        <v>0.1</v>
      </c>
      <c r="AQ99" s="11">
        <v>2.1</v>
      </c>
      <c r="AR99" s="11">
        <v>1</v>
      </c>
      <c r="AS99" s="11">
        <v>1.3</v>
      </c>
      <c r="AT99" s="11">
        <v>-0.1</v>
      </c>
      <c r="AU99" s="11">
        <v>1.6</v>
      </c>
      <c r="AV99" s="11">
        <v>-1.413</v>
      </c>
      <c r="AW99" s="11">
        <v>2.6</v>
      </c>
      <c r="AX99" s="11">
        <v>0.8</v>
      </c>
      <c r="AY99" s="11">
        <v>2.4</v>
      </c>
      <c r="AZ99" s="11">
        <v>0.5</v>
      </c>
      <c r="BA99" s="11">
        <v>1.38</v>
      </c>
    </row>
    <row r="100" spans="34:53" x14ac:dyDescent="0.25">
      <c r="AH100" s="11">
        <v>-2.5</v>
      </c>
      <c r="AI100" s="11">
        <v>1.9</v>
      </c>
      <c r="AJ100" s="11">
        <v>1.2</v>
      </c>
      <c r="AK100" s="11">
        <v>0.9</v>
      </c>
      <c r="AL100" s="11">
        <v>-3.9</v>
      </c>
      <c r="AM100" s="11">
        <v>0.4</v>
      </c>
      <c r="AN100" s="11">
        <v>7.1</v>
      </c>
      <c r="AO100" s="11">
        <v>1.2</v>
      </c>
      <c r="AP100" s="11">
        <v>-2.2000000000000002</v>
      </c>
      <c r="AQ100" s="11">
        <v>1.6</v>
      </c>
      <c r="AR100" s="11">
        <v>-1.9</v>
      </c>
      <c r="AS100" s="11">
        <v>1.1000000000000001</v>
      </c>
      <c r="AT100" s="11">
        <v>-1.8</v>
      </c>
      <c r="AU100" s="11">
        <v>1</v>
      </c>
      <c r="AV100" s="11">
        <v>-3.6669999999999998</v>
      </c>
      <c r="AW100" s="11">
        <v>2.1</v>
      </c>
      <c r="AX100" s="11">
        <v>-1.5</v>
      </c>
      <c r="AY100" s="11">
        <v>1.4</v>
      </c>
      <c r="AZ100" s="11">
        <v>-1.9</v>
      </c>
      <c r="BA100" s="11">
        <v>0.78</v>
      </c>
    </row>
    <row r="101" spans="34:53" x14ac:dyDescent="0.25">
      <c r="AH101" s="11">
        <v>-2.5</v>
      </c>
      <c r="AI101" s="11">
        <v>1.9</v>
      </c>
      <c r="AJ101" s="11">
        <v>1.2</v>
      </c>
      <c r="AK101" s="11">
        <v>0.1</v>
      </c>
      <c r="AL101" s="11">
        <v>-3.9</v>
      </c>
      <c r="AM101" s="11">
        <v>0</v>
      </c>
      <c r="AN101" s="11">
        <v>7.1</v>
      </c>
      <c r="AO101" s="11">
        <v>1</v>
      </c>
      <c r="AP101" s="11">
        <v>-2.2000000000000002</v>
      </c>
      <c r="AQ101" s="11">
        <v>1.1000000000000001</v>
      </c>
      <c r="AR101" s="11">
        <v>-1.9</v>
      </c>
      <c r="AS101" s="11">
        <v>1</v>
      </c>
      <c r="AT101" s="11">
        <v>-1.8</v>
      </c>
      <c r="AU101" s="11">
        <v>0.7</v>
      </c>
      <c r="AV101" s="11">
        <v>-3.6669999999999998</v>
      </c>
      <c r="AW101" s="11">
        <v>1.4</v>
      </c>
      <c r="AX101" s="11">
        <v>-1.5</v>
      </c>
      <c r="AY101" s="11">
        <v>0.8</v>
      </c>
      <c r="AZ101" s="11">
        <v>-1.9</v>
      </c>
      <c r="BA101" s="11">
        <v>0.26</v>
      </c>
    </row>
    <row r="102" spans="34:53" x14ac:dyDescent="0.25">
      <c r="AH102" s="11">
        <v>-2.5</v>
      </c>
      <c r="AI102" s="11">
        <v>1.9</v>
      </c>
      <c r="AJ102" s="11">
        <v>1.2</v>
      </c>
      <c r="AK102" s="11">
        <v>0</v>
      </c>
      <c r="AL102" s="11">
        <v>-3.9</v>
      </c>
      <c r="AM102" s="11">
        <v>-0.1</v>
      </c>
      <c r="AN102" s="11">
        <v>7.1</v>
      </c>
      <c r="AO102" s="11">
        <v>-1.6</v>
      </c>
      <c r="AP102" s="11">
        <v>-2.2000000000000002</v>
      </c>
      <c r="AQ102" s="11">
        <v>1.2</v>
      </c>
      <c r="AR102" s="11">
        <v>-1.9</v>
      </c>
      <c r="AS102" s="11">
        <v>1.1000000000000001</v>
      </c>
      <c r="AT102" s="11">
        <v>-1.8</v>
      </c>
      <c r="AU102" s="11">
        <v>0.9</v>
      </c>
      <c r="AV102" s="11">
        <v>-3.6669999999999998</v>
      </c>
      <c r="AW102" s="11">
        <v>1.6</v>
      </c>
      <c r="AX102" s="11">
        <v>-1.5</v>
      </c>
      <c r="AY102" s="11">
        <v>0.7</v>
      </c>
      <c r="AZ102" s="11">
        <v>-1.9</v>
      </c>
      <c r="BA102" s="11">
        <v>0.2</v>
      </c>
    </row>
    <row r="103" spans="34:53" x14ac:dyDescent="0.25">
      <c r="AH103" s="11">
        <v>-3.3</v>
      </c>
      <c r="AI103" s="11">
        <v>1.5</v>
      </c>
      <c r="AJ103" s="11">
        <v>-2.4</v>
      </c>
      <c r="AK103" s="11">
        <v>-0.4</v>
      </c>
      <c r="AL103" s="11">
        <v>-9</v>
      </c>
      <c r="AM103" s="11">
        <v>-0.3</v>
      </c>
      <c r="AN103" s="11">
        <v>6.4</v>
      </c>
      <c r="AO103" s="11">
        <v>-1.2</v>
      </c>
      <c r="AP103" s="11">
        <v>-5.7</v>
      </c>
      <c r="AQ103" s="11">
        <v>0.6</v>
      </c>
      <c r="AR103" s="11">
        <v>-6.7</v>
      </c>
      <c r="AS103" s="11">
        <v>0.3</v>
      </c>
      <c r="AT103" s="11">
        <v>-3.8</v>
      </c>
      <c r="AU103" s="11">
        <v>0.3</v>
      </c>
      <c r="AV103" s="11">
        <v>-7.2960000000000003</v>
      </c>
      <c r="AW103" s="11">
        <v>1</v>
      </c>
      <c r="AX103" s="11">
        <v>-4.2</v>
      </c>
      <c r="AY103" s="11">
        <v>-0.1</v>
      </c>
      <c r="AZ103" s="11">
        <v>-4.3</v>
      </c>
      <c r="BA103" s="11">
        <v>-0.48</v>
      </c>
    </row>
    <row r="104" spans="34:53" x14ac:dyDescent="0.25">
      <c r="AH104" s="11">
        <v>-3.3</v>
      </c>
      <c r="AI104" s="11">
        <v>1.5</v>
      </c>
      <c r="AJ104" s="11">
        <v>-2.4</v>
      </c>
      <c r="AK104" s="11">
        <v>-1.2</v>
      </c>
      <c r="AL104" s="11">
        <v>-9</v>
      </c>
      <c r="AM104" s="11">
        <v>-0.1</v>
      </c>
      <c r="AN104" s="11">
        <v>6.4</v>
      </c>
      <c r="AO104" s="11">
        <v>-1.5</v>
      </c>
      <c r="AP104" s="11">
        <v>-5.7</v>
      </c>
      <c r="AQ104" s="11">
        <v>0.6</v>
      </c>
      <c r="AR104" s="11">
        <v>-6.7</v>
      </c>
      <c r="AS104" s="11">
        <v>0.7</v>
      </c>
      <c r="AT104" s="11">
        <v>-3.8</v>
      </c>
      <c r="AU104" s="11">
        <v>0.1</v>
      </c>
      <c r="AV104" s="11">
        <v>-7.2960000000000003</v>
      </c>
      <c r="AW104" s="11">
        <v>1</v>
      </c>
      <c r="AX104" s="11">
        <v>-4.2</v>
      </c>
      <c r="AY104" s="11">
        <v>-0.2</v>
      </c>
      <c r="AZ104" s="11">
        <v>-4.3</v>
      </c>
      <c r="BA104" s="11">
        <v>-0.54</v>
      </c>
    </row>
    <row r="105" spans="34:53" x14ac:dyDescent="0.25">
      <c r="AH105" s="11">
        <v>-3.3</v>
      </c>
      <c r="AI105" s="11">
        <v>1.5</v>
      </c>
      <c r="AJ105" s="11">
        <v>-2.4</v>
      </c>
      <c r="AK105" s="11">
        <v>-1.1000000000000001</v>
      </c>
      <c r="AL105" s="11">
        <v>-9</v>
      </c>
      <c r="AM105" s="11">
        <v>-1.1000000000000001</v>
      </c>
      <c r="AN105" s="11">
        <v>6.4</v>
      </c>
      <c r="AO105" s="11">
        <v>-1.4</v>
      </c>
      <c r="AP105" s="11">
        <v>-5.7</v>
      </c>
      <c r="AQ105" s="11">
        <v>0</v>
      </c>
      <c r="AR105" s="11">
        <v>-6.7</v>
      </c>
      <c r="AS105" s="11">
        <v>0</v>
      </c>
      <c r="AT105" s="11">
        <v>-3.8</v>
      </c>
      <c r="AU105" s="11">
        <v>-0.3</v>
      </c>
      <c r="AV105" s="11">
        <v>-7.2960000000000003</v>
      </c>
      <c r="AW105" s="11">
        <v>0.8</v>
      </c>
      <c r="AX105" s="11">
        <v>-4.2</v>
      </c>
      <c r="AY105" s="11">
        <v>-0.9</v>
      </c>
      <c r="AZ105" s="11">
        <v>-4.3</v>
      </c>
      <c r="BA105" s="11">
        <v>-1.17</v>
      </c>
    </row>
    <row r="106" spans="34:53" x14ac:dyDescent="0.25">
      <c r="AH106" s="11">
        <v>-4</v>
      </c>
      <c r="AI106" s="11">
        <v>0.8</v>
      </c>
      <c r="AJ106" s="11">
        <v>-1.9</v>
      </c>
      <c r="AK106" s="11">
        <v>-1.6</v>
      </c>
      <c r="AL106" s="11">
        <v>-6.6</v>
      </c>
      <c r="AM106" s="11">
        <v>-1.8</v>
      </c>
      <c r="AN106" s="11">
        <v>8.1999999999999993</v>
      </c>
      <c r="AO106" s="11">
        <v>-1.7</v>
      </c>
      <c r="AP106" s="11">
        <v>-5.4</v>
      </c>
      <c r="AQ106" s="11">
        <v>-0.1</v>
      </c>
      <c r="AR106" s="11">
        <v>-7.9</v>
      </c>
      <c r="AS106" s="11">
        <v>0</v>
      </c>
      <c r="AT106" s="11">
        <v>-3.4</v>
      </c>
      <c r="AU106" s="11">
        <v>-0.5</v>
      </c>
      <c r="AV106" s="11">
        <v>-6.7089999999999996</v>
      </c>
      <c r="AW106" s="11">
        <v>0.3</v>
      </c>
      <c r="AX106" s="11">
        <v>-4.4000000000000004</v>
      </c>
      <c r="AY106" s="11">
        <v>-1</v>
      </c>
      <c r="AZ106" s="11">
        <v>-3.8</v>
      </c>
      <c r="BA106" s="11">
        <v>-1.59</v>
      </c>
    </row>
    <row r="107" spans="34:53" x14ac:dyDescent="0.25">
      <c r="AH107" s="11">
        <v>-4</v>
      </c>
      <c r="AI107" s="11">
        <v>0.8</v>
      </c>
      <c r="AJ107" s="11">
        <v>-1.9</v>
      </c>
      <c r="AK107" s="11">
        <v>-1.4</v>
      </c>
      <c r="AL107" s="11">
        <v>-6.6</v>
      </c>
      <c r="AM107" s="11">
        <v>-2.2000000000000002</v>
      </c>
      <c r="AN107" s="11">
        <v>8.1999999999999993</v>
      </c>
      <c r="AO107" s="11">
        <v>-1.8</v>
      </c>
      <c r="AP107" s="11">
        <v>-5.4</v>
      </c>
      <c r="AQ107" s="11">
        <v>-0.6</v>
      </c>
      <c r="AR107" s="11">
        <v>-7.9</v>
      </c>
      <c r="AS107" s="11">
        <v>-0.5</v>
      </c>
      <c r="AT107" s="11">
        <v>-3.4</v>
      </c>
      <c r="AU107" s="11">
        <v>-0.7</v>
      </c>
      <c r="AV107" s="11">
        <v>-6.7089999999999996</v>
      </c>
      <c r="AW107" s="11">
        <v>-0.1</v>
      </c>
      <c r="AX107" s="11">
        <v>-4.4000000000000004</v>
      </c>
      <c r="AY107" s="11">
        <v>-1.3</v>
      </c>
      <c r="AZ107" s="11">
        <v>-3.8</v>
      </c>
      <c r="BA107" s="11">
        <v>-1.54</v>
      </c>
    </row>
    <row r="108" spans="34:53" x14ac:dyDescent="0.25">
      <c r="AH108" s="11">
        <v>-4</v>
      </c>
      <c r="AI108" s="11">
        <v>0.8</v>
      </c>
      <c r="AJ108" s="11">
        <v>-1.9</v>
      </c>
      <c r="AK108" s="11">
        <v>-1.3</v>
      </c>
      <c r="AL108" s="11">
        <v>-6.6</v>
      </c>
      <c r="AM108" s="11">
        <v>-2.2000000000000002</v>
      </c>
      <c r="AN108" s="11">
        <v>8.1999999999999993</v>
      </c>
      <c r="AO108" s="11">
        <v>-1.2</v>
      </c>
      <c r="AP108" s="11">
        <v>-5.4</v>
      </c>
      <c r="AQ108" s="11">
        <v>-0.2</v>
      </c>
      <c r="AR108" s="11">
        <v>-7.9</v>
      </c>
      <c r="AS108" s="11">
        <v>0</v>
      </c>
      <c r="AT108" s="11">
        <v>-3.4</v>
      </c>
      <c r="AU108" s="11">
        <v>-0.2</v>
      </c>
      <c r="AV108" s="11">
        <v>-6.7089999999999996</v>
      </c>
      <c r="AW108" s="11">
        <v>0.1</v>
      </c>
      <c r="AX108" s="11">
        <v>-4.4000000000000004</v>
      </c>
      <c r="AY108" s="11">
        <v>-0.7</v>
      </c>
      <c r="AZ108" s="11">
        <v>-3.8</v>
      </c>
      <c r="BA108" s="11">
        <v>-1.33</v>
      </c>
    </row>
    <row r="109" spans="34:53" x14ac:dyDescent="0.25">
      <c r="AH109" s="11">
        <v>-3.1</v>
      </c>
      <c r="AI109" s="11">
        <v>0.1</v>
      </c>
      <c r="AJ109" s="11">
        <v>-1.7</v>
      </c>
      <c r="AK109" s="11">
        <v>-1.4</v>
      </c>
      <c r="AL109" s="11">
        <v>-5.4</v>
      </c>
      <c r="AM109" s="11">
        <v>-2.2000000000000002</v>
      </c>
      <c r="AN109" s="11">
        <v>10.6</v>
      </c>
      <c r="AO109" s="11">
        <v>-0.8</v>
      </c>
      <c r="AP109" s="11">
        <v>-4.5</v>
      </c>
      <c r="AQ109" s="11">
        <v>-0.3</v>
      </c>
      <c r="AR109" s="11">
        <v>-5.5</v>
      </c>
      <c r="AS109" s="11">
        <v>-0.2</v>
      </c>
      <c r="AT109" s="11">
        <v>-3</v>
      </c>
      <c r="AU109" s="11">
        <v>-0.4</v>
      </c>
      <c r="AV109" s="11">
        <v>-4.9950000000000001</v>
      </c>
      <c r="AW109" s="11">
        <v>0.1</v>
      </c>
      <c r="AX109" s="11">
        <v>-4</v>
      </c>
      <c r="AY109" s="11">
        <v>-0.9</v>
      </c>
      <c r="AZ109" s="11">
        <v>-2.8</v>
      </c>
      <c r="BA109" s="11">
        <v>-1.66</v>
      </c>
    </row>
    <row r="110" spans="34:53" x14ac:dyDescent="0.25">
      <c r="AH110" s="11">
        <v>-3.1</v>
      </c>
      <c r="AI110" s="11">
        <v>0.1</v>
      </c>
      <c r="AJ110" s="11">
        <v>-1.7</v>
      </c>
      <c r="AK110" s="11">
        <v>-0.8</v>
      </c>
      <c r="AL110" s="11">
        <v>-5.4</v>
      </c>
      <c r="AM110" s="11">
        <v>-2.5</v>
      </c>
      <c r="AN110" s="11">
        <v>10.6</v>
      </c>
      <c r="AO110" s="11">
        <v>-0.5</v>
      </c>
      <c r="AP110" s="11">
        <v>-4.5</v>
      </c>
      <c r="AQ110" s="11">
        <v>-0.1</v>
      </c>
      <c r="AR110" s="11">
        <v>-5.5</v>
      </c>
      <c r="AS110" s="11">
        <v>0.1</v>
      </c>
      <c r="AT110" s="11">
        <v>-3</v>
      </c>
      <c r="AU110" s="11">
        <v>-0.2</v>
      </c>
      <c r="AV110" s="11">
        <v>-4.9950000000000001</v>
      </c>
      <c r="AW110" s="11">
        <v>0.2</v>
      </c>
      <c r="AX110" s="11">
        <v>-4</v>
      </c>
      <c r="AY110" s="11">
        <v>-0.6</v>
      </c>
      <c r="AZ110" s="11">
        <v>-2.8</v>
      </c>
      <c r="BA110" s="11">
        <v>-1.46</v>
      </c>
    </row>
    <row r="111" spans="34:53" x14ac:dyDescent="0.25">
      <c r="AH111" s="11">
        <v>-3.1</v>
      </c>
      <c r="AI111" s="11">
        <v>0.1</v>
      </c>
      <c r="AJ111" s="11">
        <v>-1.7</v>
      </c>
      <c r="AK111" s="11">
        <v>0.3</v>
      </c>
      <c r="AL111" s="11">
        <v>-5.4</v>
      </c>
      <c r="AM111" s="11">
        <v>-1.9</v>
      </c>
      <c r="AN111" s="11">
        <v>10.6</v>
      </c>
      <c r="AO111" s="11">
        <v>0.6</v>
      </c>
      <c r="AP111" s="11">
        <v>-4.5</v>
      </c>
      <c r="AQ111" s="11">
        <v>0.5</v>
      </c>
      <c r="AR111" s="11">
        <v>-5.5</v>
      </c>
      <c r="AS111" s="11">
        <v>0.3</v>
      </c>
      <c r="AT111" s="11">
        <v>-3</v>
      </c>
      <c r="AU111" s="11">
        <v>0.4</v>
      </c>
      <c r="AV111" s="11">
        <v>-4.9950000000000001</v>
      </c>
      <c r="AW111" s="11">
        <v>0.8</v>
      </c>
      <c r="AX111" s="11">
        <v>-4</v>
      </c>
      <c r="AY111" s="11">
        <v>0.4</v>
      </c>
      <c r="AZ111" s="11">
        <v>-2.8</v>
      </c>
      <c r="BA111" s="11">
        <v>-0.59</v>
      </c>
    </row>
    <row r="112" spans="34:53" x14ac:dyDescent="0.25">
      <c r="AH112" s="11">
        <v>0.1</v>
      </c>
      <c r="AI112" s="11">
        <v>0.2</v>
      </c>
      <c r="AJ112" s="11">
        <v>-2</v>
      </c>
      <c r="AK112" s="11">
        <v>2.4</v>
      </c>
      <c r="AL112" s="11">
        <v>-1.7</v>
      </c>
      <c r="AM112" s="11">
        <v>-1.7</v>
      </c>
      <c r="AN112" s="11">
        <v>11.9</v>
      </c>
      <c r="AO112" s="11">
        <v>1.9</v>
      </c>
      <c r="AP112" s="11">
        <v>-2.2999999999999998</v>
      </c>
      <c r="AQ112" s="11">
        <v>0.9</v>
      </c>
      <c r="AR112" s="11">
        <v>-2.7</v>
      </c>
      <c r="AS112" s="11">
        <v>0.9</v>
      </c>
      <c r="AT112" s="11">
        <v>-0.9</v>
      </c>
      <c r="AU112" s="11">
        <v>0.9</v>
      </c>
      <c r="AV112" s="11">
        <v>-2.1219999999999999</v>
      </c>
      <c r="AW112" s="11">
        <v>0.9</v>
      </c>
      <c r="AX112" s="11">
        <v>-2.4</v>
      </c>
      <c r="AY112" s="11">
        <v>0.9</v>
      </c>
      <c r="AZ112" s="11">
        <v>-1.5</v>
      </c>
      <c r="BA112" s="11">
        <v>-0.05</v>
      </c>
    </row>
    <row r="113" spans="34:53" x14ac:dyDescent="0.25">
      <c r="AH113" s="11">
        <v>0.1</v>
      </c>
      <c r="AI113" s="11">
        <v>0.2</v>
      </c>
      <c r="AJ113" s="11">
        <v>-2</v>
      </c>
      <c r="AK113" s="11">
        <v>3.7</v>
      </c>
      <c r="AL113" s="11">
        <v>-1.7</v>
      </c>
      <c r="AM113" s="11">
        <v>-1.3</v>
      </c>
      <c r="AN113" s="11">
        <v>11.9</v>
      </c>
      <c r="AO113" s="11">
        <v>1.5</v>
      </c>
      <c r="AP113" s="11">
        <v>-2.2999999999999998</v>
      </c>
      <c r="AQ113" s="11">
        <v>0.9</v>
      </c>
      <c r="AR113" s="11">
        <v>-2.7</v>
      </c>
      <c r="AS113" s="11">
        <v>0.7</v>
      </c>
      <c r="AT113" s="11">
        <v>-0.9</v>
      </c>
      <c r="AU113" s="11">
        <v>1.1000000000000001</v>
      </c>
      <c r="AV113" s="11">
        <v>-2.1219999999999999</v>
      </c>
      <c r="AW113" s="11">
        <v>1.4</v>
      </c>
      <c r="AX113" s="11">
        <v>-2.4</v>
      </c>
      <c r="AY113" s="11">
        <v>0.7</v>
      </c>
      <c r="AZ113" s="11">
        <v>-1.5</v>
      </c>
      <c r="BA113" s="11">
        <v>0.12</v>
      </c>
    </row>
    <row r="114" spans="34:53" x14ac:dyDescent="0.25">
      <c r="AH114" s="11">
        <v>0.1</v>
      </c>
      <c r="AI114" s="11">
        <v>0.2</v>
      </c>
      <c r="AJ114" s="11">
        <v>-2</v>
      </c>
      <c r="AK114" s="11">
        <v>3.7</v>
      </c>
      <c r="AL114" s="11">
        <v>-1.7</v>
      </c>
      <c r="AM114" s="11">
        <v>-1.1000000000000001</v>
      </c>
      <c r="AN114" s="11">
        <v>11.9</v>
      </c>
      <c r="AO114" s="11">
        <v>2.7</v>
      </c>
      <c r="AP114" s="11">
        <v>-2.2999999999999998</v>
      </c>
      <c r="AQ114" s="11">
        <v>0.8</v>
      </c>
      <c r="AR114" s="11">
        <v>-2.7</v>
      </c>
      <c r="AS114" s="11">
        <v>0.5</v>
      </c>
      <c r="AT114" s="11">
        <v>-0.9</v>
      </c>
      <c r="AU114" s="11">
        <v>1.3</v>
      </c>
      <c r="AV114" s="11">
        <v>-2.1219999999999999</v>
      </c>
      <c r="AW114" s="11">
        <v>1.2</v>
      </c>
      <c r="AX114" s="11">
        <v>-2.4</v>
      </c>
      <c r="AY114" s="11">
        <v>0.4</v>
      </c>
      <c r="AZ114" s="11">
        <v>-1.5</v>
      </c>
      <c r="BA114" s="11">
        <v>0.2</v>
      </c>
    </row>
    <row r="115" spans="34:53" x14ac:dyDescent="0.25">
      <c r="AH115" s="11">
        <v>1.8</v>
      </c>
      <c r="AI115" s="11">
        <v>0.5</v>
      </c>
      <c r="AJ115" s="11">
        <v>0.7</v>
      </c>
      <c r="AK115" s="11">
        <v>4.4000000000000004</v>
      </c>
      <c r="AL115" s="11">
        <v>4.4000000000000004</v>
      </c>
      <c r="AM115" s="11">
        <v>-1.1000000000000001</v>
      </c>
      <c r="AN115" s="11">
        <v>12.2</v>
      </c>
      <c r="AO115" s="11">
        <v>2.4</v>
      </c>
      <c r="AP115" s="11">
        <v>1.2</v>
      </c>
      <c r="AQ115" s="11">
        <v>1.6</v>
      </c>
      <c r="AR115" s="11">
        <v>2.5</v>
      </c>
      <c r="AS115" s="11">
        <v>1.3</v>
      </c>
      <c r="AT115" s="11">
        <v>1.1000000000000001</v>
      </c>
      <c r="AU115" s="11">
        <v>1.6</v>
      </c>
      <c r="AV115" s="11">
        <v>0.85699999999999998</v>
      </c>
      <c r="AW115" s="11">
        <v>1.4</v>
      </c>
      <c r="AX115" s="11">
        <v>0.2</v>
      </c>
      <c r="AY115" s="11">
        <v>2.7</v>
      </c>
      <c r="AZ115" s="11">
        <v>1.9</v>
      </c>
      <c r="BA115" s="11">
        <v>0.56999999999999995</v>
      </c>
    </row>
    <row r="116" spans="34:53" x14ac:dyDescent="0.25">
      <c r="AH116" s="11">
        <v>1.8</v>
      </c>
      <c r="AI116" s="11">
        <v>0.5</v>
      </c>
      <c r="AJ116" s="11">
        <v>0.7</v>
      </c>
      <c r="AK116" s="11">
        <v>5.3</v>
      </c>
      <c r="AL116" s="11">
        <v>4.4000000000000004</v>
      </c>
      <c r="AM116" s="11">
        <v>-1.2</v>
      </c>
      <c r="AN116" s="11">
        <v>12.2</v>
      </c>
      <c r="AO116" s="11">
        <v>2.8</v>
      </c>
      <c r="AP116" s="11">
        <v>1.2</v>
      </c>
      <c r="AQ116" s="11">
        <v>1.6</v>
      </c>
      <c r="AR116" s="11">
        <v>2.5</v>
      </c>
      <c r="AS116" s="11">
        <v>1.2</v>
      </c>
      <c r="AT116" s="11">
        <v>1.1000000000000001</v>
      </c>
      <c r="AU116" s="11">
        <v>1.7</v>
      </c>
      <c r="AV116" s="11">
        <v>0.85699999999999998</v>
      </c>
      <c r="AW116" s="11">
        <v>1.6</v>
      </c>
      <c r="AX116" s="11">
        <v>0.2</v>
      </c>
      <c r="AY116" s="11">
        <v>2.4</v>
      </c>
      <c r="AZ116" s="11">
        <v>1.9</v>
      </c>
      <c r="BA116" s="11">
        <v>0.72</v>
      </c>
    </row>
    <row r="117" spans="34:53" x14ac:dyDescent="0.25">
      <c r="AH117" s="11">
        <v>1.8</v>
      </c>
      <c r="AI117" s="11">
        <v>0.5</v>
      </c>
      <c r="AJ117" s="11">
        <v>0.7</v>
      </c>
      <c r="AK117" s="11">
        <v>5.0999999999999996</v>
      </c>
      <c r="AL117" s="11">
        <v>4.4000000000000004</v>
      </c>
      <c r="AM117" s="11">
        <v>-0.9</v>
      </c>
      <c r="AN117" s="11">
        <v>12.2</v>
      </c>
      <c r="AO117" s="11">
        <v>3.1</v>
      </c>
      <c r="AP117" s="11">
        <v>1.2</v>
      </c>
      <c r="AQ117" s="11">
        <v>1.7</v>
      </c>
      <c r="AR117" s="11">
        <v>2.5</v>
      </c>
      <c r="AS117" s="11">
        <v>1.3</v>
      </c>
      <c r="AT117" s="11">
        <v>1.1000000000000001</v>
      </c>
      <c r="AU117" s="11">
        <v>1.6</v>
      </c>
      <c r="AV117" s="11">
        <v>0.85699999999999998</v>
      </c>
      <c r="AW117" s="11">
        <v>1.4</v>
      </c>
      <c r="AX117" s="11">
        <v>0.2</v>
      </c>
      <c r="AY117" s="11">
        <v>2.5</v>
      </c>
      <c r="AZ117" s="11">
        <v>1.9</v>
      </c>
      <c r="BA117" s="11">
        <v>1.06</v>
      </c>
    </row>
    <row r="118" spans="34:53" x14ac:dyDescent="0.25">
      <c r="AH118" s="11">
        <v>2.9</v>
      </c>
      <c r="AI118" s="11">
        <v>1.2</v>
      </c>
      <c r="AJ118" s="11">
        <v>2.2999999999999998</v>
      </c>
      <c r="AK118" s="11">
        <v>5</v>
      </c>
      <c r="AL118" s="11">
        <v>3.5</v>
      </c>
      <c r="AM118" s="11">
        <v>-0.7</v>
      </c>
      <c r="AN118" s="11">
        <v>10.8</v>
      </c>
      <c r="AO118" s="11">
        <v>2.9</v>
      </c>
      <c r="AP118" s="11">
        <v>2.2000000000000002</v>
      </c>
      <c r="AQ118" s="11">
        <v>1.5</v>
      </c>
      <c r="AR118" s="11">
        <v>4.8</v>
      </c>
      <c r="AS118" s="11">
        <v>1</v>
      </c>
      <c r="AT118" s="11">
        <v>1.7</v>
      </c>
      <c r="AU118" s="11">
        <v>1.5</v>
      </c>
      <c r="AV118" s="11">
        <v>1.9350000000000001</v>
      </c>
      <c r="AW118" s="11">
        <v>1.3</v>
      </c>
      <c r="AX118" s="11">
        <v>0.3</v>
      </c>
      <c r="AY118" s="11">
        <v>2.1</v>
      </c>
      <c r="AZ118" s="11">
        <v>2.2999999999999998</v>
      </c>
      <c r="BA118" s="11">
        <v>1.17</v>
      </c>
    </row>
    <row r="119" spans="34:53" x14ac:dyDescent="0.25">
      <c r="AH119" s="11">
        <v>2.9</v>
      </c>
      <c r="AI119" s="11">
        <v>1.2</v>
      </c>
      <c r="AJ119" s="11">
        <v>2.2999999999999998</v>
      </c>
      <c r="AK119" s="11">
        <v>4.8</v>
      </c>
      <c r="AL119" s="11">
        <v>3.5</v>
      </c>
      <c r="AM119" s="11">
        <v>-0.9</v>
      </c>
      <c r="AN119" s="11">
        <v>10.8</v>
      </c>
      <c r="AO119" s="11">
        <v>3.3</v>
      </c>
      <c r="AP119" s="11">
        <v>2.2000000000000002</v>
      </c>
      <c r="AQ119" s="11">
        <v>1.7</v>
      </c>
      <c r="AR119" s="11">
        <v>4.8</v>
      </c>
      <c r="AS119" s="11">
        <v>1.1000000000000001</v>
      </c>
      <c r="AT119" s="11">
        <v>1.7</v>
      </c>
      <c r="AU119" s="11">
        <v>1.7</v>
      </c>
      <c r="AV119" s="11">
        <v>1.9350000000000001</v>
      </c>
      <c r="AW119" s="11">
        <v>1.7</v>
      </c>
      <c r="AX119" s="11">
        <v>0.3</v>
      </c>
      <c r="AY119" s="11">
        <v>1.8</v>
      </c>
      <c r="AZ119" s="11">
        <v>2.2999999999999998</v>
      </c>
      <c r="BA119" s="11">
        <v>1.89</v>
      </c>
    </row>
    <row r="120" spans="34:53" x14ac:dyDescent="0.25">
      <c r="AH120" s="11">
        <v>2.9</v>
      </c>
      <c r="AI120" s="11">
        <v>1.2</v>
      </c>
      <c r="AJ120" s="11">
        <v>2.2999999999999998</v>
      </c>
      <c r="AK120" s="11">
        <v>4.7</v>
      </c>
      <c r="AL120" s="11">
        <v>3.5</v>
      </c>
      <c r="AM120" s="11">
        <v>-0.9</v>
      </c>
      <c r="AN120" s="11">
        <v>10.8</v>
      </c>
      <c r="AO120" s="11">
        <v>3.5</v>
      </c>
      <c r="AP120" s="11">
        <v>2.2000000000000002</v>
      </c>
      <c r="AQ120" s="11">
        <v>1.6</v>
      </c>
      <c r="AR120" s="11">
        <v>4.8</v>
      </c>
      <c r="AS120" s="11">
        <v>1</v>
      </c>
      <c r="AT120" s="11">
        <v>1.7</v>
      </c>
      <c r="AU120" s="11">
        <v>1.4</v>
      </c>
      <c r="AV120" s="11">
        <v>1.9350000000000001</v>
      </c>
      <c r="AW120" s="11">
        <v>1.6</v>
      </c>
      <c r="AX120" s="11">
        <v>0.3</v>
      </c>
      <c r="AY120" s="11">
        <v>1.6</v>
      </c>
      <c r="AZ120" s="11">
        <v>2.2999999999999998</v>
      </c>
      <c r="BA120" s="11">
        <v>1.98</v>
      </c>
    </row>
    <row r="121" spans="34:53" x14ac:dyDescent="0.25">
      <c r="AH121" s="11">
        <v>3.3</v>
      </c>
      <c r="AI121" s="11">
        <v>1.4</v>
      </c>
      <c r="AJ121" s="11">
        <v>2.6</v>
      </c>
      <c r="AK121" s="11">
        <v>4.5999999999999996</v>
      </c>
      <c r="AL121" s="11">
        <v>5.6</v>
      </c>
      <c r="AM121" s="11">
        <v>-0.6</v>
      </c>
      <c r="AN121" s="11">
        <v>9.9</v>
      </c>
      <c r="AO121" s="11">
        <v>3.6</v>
      </c>
      <c r="AP121" s="11">
        <v>2.2999999999999998</v>
      </c>
      <c r="AQ121" s="11">
        <v>1.9</v>
      </c>
      <c r="AR121" s="11">
        <v>4.7</v>
      </c>
      <c r="AS121" s="11">
        <v>1.2</v>
      </c>
      <c r="AT121" s="11">
        <v>2.2000000000000002</v>
      </c>
      <c r="AU121" s="11">
        <v>1.6</v>
      </c>
      <c r="AV121" s="11">
        <v>1.83</v>
      </c>
      <c r="AW121" s="11">
        <v>1.5</v>
      </c>
      <c r="AX121" s="11">
        <v>0.1</v>
      </c>
      <c r="AY121" s="11">
        <v>2.8</v>
      </c>
      <c r="AZ121" s="11">
        <v>1.5</v>
      </c>
      <c r="BA121" s="11">
        <v>1.97</v>
      </c>
    </row>
    <row r="122" spans="34:53" x14ac:dyDescent="0.25">
      <c r="AH122" s="11">
        <v>3.3</v>
      </c>
      <c r="AI122" s="11">
        <v>1.4</v>
      </c>
      <c r="AJ122" s="11">
        <v>2.6</v>
      </c>
      <c r="AK122" s="11">
        <v>4.5</v>
      </c>
      <c r="AL122" s="11">
        <v>5.6</v>
      </c>
      <c r="AM122" s="11">
        <v>0.2</v>
      </c>
      <c r="AN122" s="11">
        <v>9.9</v>
      </c>
      <c r="AO122" s="11">
        <v>4.4000000000000004</v>
      </c>
      <c r="AP122" s="11">
        <v>2.2999999999999998</v>
      </c>
      <c r="AQ122" s="11">
        <v>1.9</v>
      </c>
      <c r="AR122" s="11">
        <v>4.7</v>
      </c>
      <c r="AS122" s="11">
        <v>1.2</v>
      </c>
      <c r="AT122" s="11">
        <v>2.2000000000000002</v>
      </c>
      <c r="AU122" s="11">
        <v>1.6</v>
      </c>
      <c r="AV122" s="11">
        <v>1.83</v>
      </c>
      <c r="AW122" s="11">
        <v>1.6</v>
      </c>
      <c r="AX122" s="11">
        <v>0.1</v>
      </c>
      <c r="AY122" s="11">
        <v>2.5</v>
      </c>
      <c r="AZ122" s="11">
        <v>1.5</v>
      </c>
      <c r="BA122" s="11">
        <v>2.35</v>
      </c>
    </row>
    <row r="123" spans="34:53" x14ac:dyDescent="0.25">
      <c r="AH123" s="11">
        <v>3.3</v>
      </c>
      <c r="AI123" s="11">
        <v>1.4</v>
      </c>
      <c r="AJ123" s="11">
        <v>2.6</v>
      </c>
      <c r="AK123" s="11">
        <v>4.7</v>
      </c>
      <c r="AL123" s="11">
        <v>5.6</v>
      </c>
      <c r="AM123" s="11">
        <v>0.1</v>
      </c>
      <c r="AN123" s="11">
        <v>9.9</v>
      </c>
      <c r="AO123" s="11">
        <v>5.0999999999999996</v>
      </c>
      <c r="AP123" s="11">
        <v>2.2999999999999998</v>
      </c>
      <c r="AQ123" s="11">
        <v>1.9</v>
      </c>
      <c r="AR123" s="11">
        <v>4.7</v>
      </c>
      <c r="AS123" s="11">
        <v>1.6</v>
      </c>
      <c r="AT123" s="11">
        <v>2.2000000000000002</v>
      </c>
      <c r="AU123" s="11">
        <v>1.6</v>
      </c>
      <c r="AV123" s="11">
        <v>1.83</v>
      </c>
      <c r="AW123" s="11">
        <v>1.6</v>
      </c>
      <c r="AX123" s="11">
        <v>0.1</v>
      </c>
      <c r="AY123" s="11">
        <v>2.2999999999999998</v>
      </c>
      <c r="AZ123" s="11">
        <v>1.5</v>
      </c>
      <c r="BA123" s="11">
        <v>2.29</v>
      </c>
    </row>
    <row r="124" spans="34:53" x14ac:dyDescent="0.25">
      <c r="AH124" s="11">
        <v>2.8</v>
      </c>
      <c r="AI124" s="11">
        <v>1.7</v>
      </c>
      <c r="AJ124" s="11">
        <v>4</v>
      </c>
      <c r="AK124" s="11">
        <v>4.8</v>
      </c>
      <c r="AL124" s="11">
        <v>3</v>
      </c>
      <c r="AM124" s="11">
        <v>0</v>
      </c>
      <c r="AN124" s="11">
        <v>9.9</v>
      </c>
      <c r="AO124" s="11">
        <v>4.5999999999999996</v>
      </c>
      <c r="AP124" s="11">
        <v>2.5</v>
      </c>
      <c r="AQ124" s="11">
        <v>2.2000000000000002</v>
      </c>
      <c r="AR124" s="11">
        <v>4.7</v>
      </c>
      <c r="AS124" s="11">
        <v>1.3</v>
      </c>
      <c r="AT124" s="11">
        <v>2.2000000000000002</v>
      </c>
      <c r="AU124" s="11">
        <v>1.8</v>
      </c>
      <c r="AV124" s="11">
        <v>2.0579999999999998</v>
      </c>
      <c r="AW124" s="11">
        <v>2</v>
      </c>
      <c r="AX124" s="11">
        <v>0.1</v>
      </c>
      <c r="AY124" s="11">
        <v>2.9</v>
      </c>
      <c r="AZ124" s="11">
        <v>1.3</v>
      </c>
      <c r="BA124" s="11">
        <v>2.52</v>
      </c>
    </row>
    <row r="125" spans="34:53" x14ac:dyDescent="0.25">
      <c r="AH125" s="11">
        <v>2.8</v>
      </c>
      <c r="AI125" s="11">
        <v>1.7</v>
      </c>
      <c r="AJ125" s="11">
        <v>4</v>
      </c>
      <c r="AK125" s="11">
        <v>5.0999999999999996</v>
      </c>
      <c r="AL125" s="11">
        <v>3</v>
      </c>
      <c r="AM125" s="11">
        <v>-0.6</v>
      </c>
      <c r="AN125" s="11">
        <v>9.9</v>
      </c>
      <c r="AO125" s="11">
        <v>4.9000000000000004</v>
      </c>
      <c r="AP125" s="11">
        <v>2.5</v>
      </c>
      <c r="AQ125" s="11">
        <v>2.2999999999999998</v>
      </c>
      <c r="AR125" s="11">
        <v>4.7</v>
      </c>
      <c r="AS125" s="11">
        <v>1.7</v>
      </c>
      <c r="AT125" s="11">
        <v>2.2000000000000002</v>
      </c>
      <c r="AU125" s="11">
        <v>1.7</v>
      </c>
      <c r="AV125" s="11">
        <v>2.0579999999999998</v>
      </c>
      <c r="AW125" s="11">
        <v>2.2000000000000002</v>
      </c>
      <c r="AX125" s="11">
        <v>0.1</v>
      </c>
      <c r="AY125" s="11">
        <v>3</v>
      </c>
      <c r="AZ125" s="11">
        <v>1.3</v>
      </c>
      <c r="BA125" s="11">
        <v>3.6</v>
      </c>
    </row>
    <row r="126" spans="34:53" x14ac:dyDescent="0.25">
      <c r="AH126" s="11">
        <v>2.8</v>
      </c>
      <c r="AI126" s="11">
        <v>1.7</v>
      </c>
      <c r="AJ126" s="11">
        <v>4</v>
      </c>
      <c r="AK126" s="11">
        <v>5.5</v>
      </c>
      <c r="AL126" s="11">
        <v>3</v>
      </c>
      <c r="AM126" s="11">
        <v>-0.5</v>
      </c>
      <c r="AN126" s="11">
        <v>9.9</v>
      </c>
      <c r="AO126" s="11">
        <v>4.9000000000000004</v>
      </c>
      <c r="AP126" s="11">
        <v>2.5</v>
      </c>
      <c r="AQ126" s="11">
        <v>2.4</v>
      </c>
      <c r="AR126" s="11">
        <v>4.7</v>
      </c>
      <c r="AS126" s="11">
        <v>1.9</v>
      </c>
      <c r="AT126" s="11">
        <v>2.2000000000000002</v>
      </c>
      <c r="AU126" s="11">
        <v>1.7</v>
      </c>
      <c r="AV126" s="11">
        <v>2.0579999999999998</v>
      </c>
      <c r="AW126" s="11">
        <v>2.2999999999999998</v>
      </c>
      <c r="AX126" s="11">
        <v>0.1</v>
      </c>
      <c r="AY126" s="11">
        <v>3.4</v>
      </c>
      <c r="AZ126" s="11">
        <v>1.3</v>
      </c>
      <c r="BA126" s="11">
        <v>3.56</v>
      </c>
    </row>
    <row r="127" spans="34:53" x14ac:dyDescent="0.25">
      <c r="AH127" s="11">
        <v>2</v>
      </c>
      <c r="AI127" s="11">
        <v>1.9</v>
      </c>
      <c r="AJ127" s="11">
        <v>4.4000000000000004</v>
      </c>
      <c r="AK127" s="11">
        <v>5.3</v>
      </c>
      <c r="AL127" s="11">
        <v>1.1000000000000001</v>
      </c>
      <c r="AM127" s="11">
        <v>-0.5</v>
      </c>
      <c r="AN127" s="11">
        <v>10.199999999999999</v>
      </c>
      <c r="AO127" s="11">
        <v>5.4</v>
      </c>
      <c r="AP127" s="11">
        <v>2.9</v>
      </c>
      <c r="AQ127" s="11">
        <v>2.7</v>
      </c>
      <c r="AR127" s="11">
        <v>6.4</v>
      </c>
      <c r="AS127" s="11">
        <v>1.9</v>
      </c>
      <c r="AT127" s="11">
        <v>2.9</v>
      </c>
      <c r="AU127" s="11">
        <v>2</v>
      </c>
      <c r="AV127" s="11">
        <v>2.27</v>
      </c>
      <c r="AW127" s="11">
        <v>2.5</v>
      </c>
      <c r="AX127" s="11">
        <v>0</v>
      </c>
      <c r="AY127" s="11">
        <v>3.3</v>
      </c>
      <c r="AZ127" s="11">
        <v>-0.2</v>
      </c>
      <c r="BA127" s="11">
        <v>4.0199999999999996</v>
      </c>
    </row>
    <row r="128" spans="34:53" x14ac:dyDescent="0.25">
      <c r="AH128" s="11">
        <v>2</v>
      </c>
      <c r="AI128" s="11">
        <v>1.9</v>
      </c>
      <c r="AJ128" s="11">
        <v>4.4000000000000004</v>
      </c>
      <c r="AK128" s="11">
        <v>5.2</v>
      </c>
      <c r="AL128" s="11">
        <v>1.1000000000000001</v>
      </c>
      <c r="AM128" s="11">
        <v>-0.4</v>
      </c>
      <c r="AN128" s="11">
        <v>10.199999999999999</v>
      </c>
      <c r="AO128" s="11">
        <v>5.3</v>
      </c>
      <c r="AP128" s="11">
        <v>2.9</v>
      </c>
      <c r="AQ128" s="11">
        <v>2.8</v>
      </c>
      <c r="AR128" s="11">
        <v>6.4</v>
      </c>
      <c r="AS128" s="11">
        <v>2</v>
      </c>
      <c r="AT128" s="11">
        <v>2.9</v>
      </c>
      <c r="AU128" s="11">
        <v>2.1</v>
      </c>
      <c r="AV128" s="11">
        <v>2.27</v>
      </c>
      <c r="AW128" s="11">
        <v>2.6</v>
      </c>
      <c r="AX128" s="11">
        <v>0</v>
      </c>
      <c r="AY128" s="11">
        <v>3.5</v>
      </c>
      <c r="AZ128" s="11">
        <v>-0.2</v>
      </c>
      <c r="BA128" s="11">
        <v>4.04</v>
      </c>
    </row>
    <row r="129" spans="34:53" x14ac:dyDescent="0.25">
      <c r="AH129" s="11">
        <v>2</v>
      </c>
      <c r="AI129" s="11">
        <v>1.9</v>
      </c>
      <c r="AJ129" s="11">
        <v>4.4000000000000004</v>
      </c>
      <c r="AK129" s="11">
        <v>5.2</v>
      </c>
      <c r="AL129" s="11">
        <v>1.1000000000000001</v>
      </c>
      <c r="AM129" s="11">
        <v>-0.4</v>
      </c>
      <c r="AN129" s="11">
        <v>10.199999999999999</v>
      </c>
      <c r="AO129" s="11">
        <v>5.5</v>
      </c>
      <c r="AP129" s="11">
        <v>2.9</v>
      </c>
      <c r="AQ129" s="11">
        <v>2.7</v>
      </c>
      <c r="AR129" s="11">
        <v>6.4</v>
      </c>
      <c r="AS129" s="11">
        <v>1.9</v>
      </c>
      <c r="AT129" s="11">
        <v>2.9</v>
      </c>
      <c r="AU129" s="11">
        <v>2</v>
      </c>
      <c r="AV129" s="11">
        <v>2.27</v>
      </c>
      <c r="AW129" s="11">
        <v>2.6</v>
      </c>
      <c r="AX129" s="11">
        <v>0</v>
      </c>
      <c r="AY129" s="11">
        <v>3.4</v>
      </c>
      <c r="AZ129" s="11">
        <v>-0.2</v>
      </c>
      <c r="BA129" s="11">
        <v>3.84</v>
      </c>
    </row>
    <row r="130" spans="34:53" x14ac:dyDescent="0.25">
      <c r="AH130" s="11">
        <v>1.7</v>
      </c>
      <c r="AI130" s="11">
        <v>2.1</v>
      </c>
      <c r="AJ130" s="11">
        <v>1.9</v>
      </c>
      <c r="AK130" s="11">
        <v>5</v>
      </c>
      <c r="AL130" s="11">
        <v>-0.9</v>
      </c>
      <c r="AM130" s="11">
        <v>-0.4</v>
      </c>
      <c r="AN130" s="11">
        <v>10</v>
      </c>
      <c r="AO130" s="11">
        <v>6.4</v>
      </c>
      <c r="AP130" s="11">
        <v>1.9</v>
      </c>
      <c r="AQ130" s="11">
        <v>2.7</v>
      </c>
      <c r="AR130" s="11">
        <v>3.8</v>
      </c>
      <c r="AS130" s="11">
        <v>2</v>
      </c>
      <c r="AT130" s="11">
        <v>2.4</v>
      </c>
      <c r="AU130" s="11">
        <v>2.1</v>
      </c>
      <c r="AV130" s="11">
        <v>1.5569999999999999</v>
      </c>
      <c r="AW130" s="11">
        <v>2.7</v>
      </c>
      <c r="AX130" s="11">
        <v>-0.5</v>
      </c>
      <c r="AY130" s="11">
        <v>3</v>
      </c>
      <c r="AZ130" s="11">
        <v>-1.2</v>
      </c>
      <c r="BA130" s="11">
        <v>3.41</v>
      </c>
    </row>
    <row r="131" spans="34:53" x14ac:dyDescent="0.25">
      <c r="AH131" s="11">
        <v>1.7</v>
      </c>
      <c r="AI131" s="11">
        <v>2.1</v>
      </c>
      <c r="AJ131" s="11">
        <v>1.9</v>
      </c>
      <c r="AK131" s="11">
        <v>5</v>
      </c>
      <c r="AL131" s="11">
        <v>-0.9</v>
      </c>
      <c r="AM131" s="11">
        <v>0.2</v>
      </c>
      <c r="AN131" s="11">
        <v>10</v>
      </c>
      <c r="AO131" s="11">
        <v>6.5</v>
      </c>
      <c r="AP131" s="11">
        <v>1.9</v>
      </c>
      <c r="AQ131" s="11">
        <v>2.6</v>
      </c>
      <c r="AR131" s="11">
        <v>3.8</v>
      </c>
      <c r="AS131" s="11">
        <v>2.1</v>
      </c>
      <c r="AT131" s="11">
        <v>2.4</v>
      </c>
      <c r="AU131" s="11">
        <v>1.9</v>
      </c>
      <c r="AV131" s="11">
        <v>1.5569999999999999</v>
      </c>
      <c r="AW131" s="11">
        <v>2.7</v>
      </c>
      <c r="AX131" s="11">
        <v>-0.5</v>
      </c>
      <c r="AY131" s="11">
        <v>3</v>
      </c>
      <c r="AZ131" s="11">
        <v>-1.2</v>
      </c>
      <c r="BA131" s="11">
        <v>3.15</v>
      </c>
    </row>
    <row r="132" spans="34:53" x14ac:dyDescent="0.25">
      <c r="AH132" s="11">
        <v>1.7</v>
      </c>
      <c r="AI132" s="11">
        <v>2.1</v>
      </c>
      <c r="AJ132" s="11">
        <v>1.9</v>
      </c>
      <c r="AK132" s="11">
        <v>5.2</v>
      </c>
      <c r="AL132" s="11">
        <v>-0.9</v>
      </c>
      <c r="AM132" s="11">
        <v>0.2</v>
      </c>
      <c r="AN132" s="11">
        <v>10</v>
      </c>
      <c r="AO132" s="11">
        <v>6.2</v>
      </c>
      <c r="AP132" s="11">
        <v>1.9</v>
      </c>
      <c r="AQ132" s="11">
        <v>2.5</v>
      </c>
      <c r="AR132" s="11">
        <v>3.8</v>
      </c>
      <c r="AS132" s="11">
        <v>2.1</v>
      </c>
      <c r="AT132" s="11">
        <v>2.4</v>
      </c>
      <c r="AU132" s="11">
        <v>2.2000000000000002</v>
      </c>
      <c r="AV132" s="11">
        <v>1.5569999999999999</v>
      </c>
      <c r="AW132" s="11">
        <v>2.8</v>
      </c>
      <c r="AX132" s="11">
        <v>-0.5</v>
      </c>
      <c r="AY132" s="11">
        <v>2.7</v>
      </c>
      <c r="AZ132" s="11">
        <v>-1.2</v>
      </c>
      <c r="BA132" s="11">
        <v>2.91</v>
      </c>
    </row>
    <row r="133" spans="34:53" x14ac:dyDescent="0.25">
      <c r="AH133" s="11">
        <v>0.9</v>
      </c>
      <c r="AI133" s="11">
        <v>2.4</v>
      </c>
      <c r="AJ133" s="11">
        <v>1.8</v>
      </c>
      <c r="AK133" s="11">
        <v>5.6</v>
      </c>
      <c r="AL133" s="11">
        <v>-0.3</v>
      </c>
      <c r="AM133" s="11">
        <v>0</v>
      </c>
      <c r="AN133" s="11">
        <v>9.4</v>
      </c>
      <c r="AO133" s="11">
        <v>6.1</v>
      </c>
      <c r="AP133" s="11">
        <v>1.6</v>
      </c>
      <c r="AQ133" s="11">
        <v>3</v>
      </c>
      <c r="AR133" s="11">
        <v>3.7</v>
      </c>
      <c r="AS133" s="11">
        <v>2.5</v>
      </c>
      <c r="AT133" s="11">
        <v>2.1</v>
      </c>
      <c r="AU133" s="11">
        <v>2.2000000000000002</v>
      </c>
      <c r="AV133" s="11">
        <v>0.54500000000000004</v>
      </c>
      <c r="AW133" s="11">
        <v>3</v>
      </c>
      <c r="AX133" s="11">
        <v>-1.1000000000000001</v>
      </c>
      <c r="AY133" s="11">
        <v>3</v>
      </c>
      <c r="AZ133" s="11">
        <v>-2</v>
      </c>
      <c r="BA133" s="11">
        <v>3.55</v>
      </c>
    </row>
    <row r="134" spans="34:53" x14ac:dyDescent="0.25">
      <c r="AH134" s="11">
        <v>0.9</v>
      </c>
      <c r="AI134" s="11">
        <v>2.4</v>
      </c>
      <c r="AJ134" s="11">
        <v>1.8</v>
      </c>
      <c r="AK134" s="11">
        <v>5.4</v>
      </c>
      <c r="AL134" s="11">
        <v>-0.3</v>
      </c>
      <c r="AM134" s="11">
        <v>-0.2</v>
      </c>
      <c r="AN134" s="11">
        <v>9.4</v>
      </c>
      <c r="AO134" s="11">
        <v>5.5</v>
      </c>
      <c r="AP134" s="11">
        <v>1.6</v>
      </c>
      <c r="AQ134" s="11">
        <v>3</v>
      </c>
      <c r="AR134" s="11">
        <v>3.7</v>
      </c>
      <c r="AS134" s="11">
        <v>2.4</v>
      </c>
      <c r="AT134" s="11">
        <v>2.1</v>
      </c>
      <c r="AU134" s="11">
        <v>2.2999999999999998</v>
      </c>
      <c r="AV134" s="11">
        <v>0.54500000000000004</v>
      </c>
      <c r="AW134" s="11">
        <v>3.2</v>
      </c>
      <c r="AX134" s="11">
        <v>-1.1000000000000001</v>
      </c>
      <c r="AY134" s="11">
        <v>3</v>
      </c>
      <c r="AZ134" s="11">
        <v>-2</v>
      </c>
      <c r="BA134" s="11">
        <v>4.2</v>
      </c>
    </row>
    <row r="135" spans="34:53" x14ac:dyDescent="0.25">
      <c r="AH135" s="11">
        <v>0.9</v>
      </c>
      <c r="AI135" s="11">
        <v>2.4</v>
      </c>
      <c r="AJ135" s="11">
        <v>1.8</v>
      </c>
      <c r="AK135" s="11">
        <v>5.2</v>
      </c>
      <c r="AL135" s="11">
        <v>-0.3</v>
      </c>
      <c r="AM135" s="11">
        <v>-0.5</v>
      </c>
      <c r="AN135" s="11">
        <v>9.4</v>
      </c>
      <c r="AO135" s="11">
        <v>4.2</v>
      </c>
      <c r="AP135" s="11">
        <v>1.6</v>
      </c>
      <c r="AQ135" s="11">
        <v>3</v>
      </c>
      <c r="AR135" s="11">
        <v>3.7</v>
      </c>
      <c r="AS135" s="11">
        <v>2.2000000000000002</v>
      </c>
      <c r="AT135" s="11">
        <v>2.1</v>
      </c>
      <c r="AU135" s="11">
        <v>2.5</v>
      </c>
      <c r="AV135" s="11">
        <v>0.54500000000000004</v>
      </c>
      <c r="AW135" s="11">
        <v>3.2</v>
      </c>
      <c r="AX135" s="11">
        <v>-1.1000000000000001</v>
      </c>
      <c r="AY135" s="11">
        <v>2.9</v>
      </c>
      <c r="AZ135" s="11">
        <v>-2</v>
      </c>
      <c r="BA135" s="11">
        <v>3.93</v>
      </c>
    </row>
    <row r="136" spans="34:53" x14ac:dyDescent="0.25">
      <c r="AH136" s="11">
        <v>1.5</v>
      </c>
      <c r="AI136" s="11">
        <v>1.9</v>
      </c>
      <c r="AJ136" s="11">
        <v>2.5</v>
      </c>
      <c r="AK136" s="11">
        <v>4.8</v>
      </c>
      <c r="AL136" s="11">
        <v>0.2</v>
      </c>
      <c r="AM136" s="11">
        <v>-0.2</v>
      </c>
      <c r="AN136" s="11">
        <v>8.8000000000000007</v>
      </c>
      <c r="AO136" s="11">
        <v>4.0999999999999996</v>
      </c>
      <c r="AP136" s="11">
        <v>0.6</v>
      </c>
      <c r="AQ136" s="11">
        <v>2.8</v>
      </c>
      <c r="AR136" s="11">
        <v>2</v>
      </c>
      <c r="AS136" s="11">
        <v>2</v>
      </c>
      <c r="AT136" s="11">
        <v>1.6</v>
      </c>
      <c r="AU136" s="11">
        <v>2.5</v>
      </c>
      <c r="AV136" s="11">
        <v>-0.95199999999999996</v>
      </c>
      <c r="AW136" s="11">
        <v>3.2</v>
      </c>
      <c r="AX136" s="11">
        <v>-1.8</v>
      </c>
      <c r="AY136" s="11">
        <v>2.2999999999999998</v>
      </c>
      <c r="AZ136" s="11">
        <v>-3.3</v>
      </c>
      <c r="BA136" s="11">
        <v>3.61</v>
      </c>
    </row>
    <row r="137" spans="34:53" x14ac:dyDescent="0.25">
      <c r="AH137" s="11">
        <v>1.5</v>
      </c>
      <c r="AI137" s="11">
        <v>1.9</v>
      </c>
      <c r="AJ137" s="11">
        <v>2.5</v>
      </c>
      <c r="AK137" s="11">
        <v>3.9</v>
      </c>
      <c r="AL137" s="11">
        <v>0.2</v>
      </c>
      <c r="AM137" s="11">
        <v>0.1</v>
      </c>
      <c r="AN137" s="11">
        <v>8.8000000000000007</v>
      </c>
      <c r="AO137" s="11">
        <v>4.5</v>
      </c>
      <c r="AP137" s="11">
        <v>0.6</v>
      </c>
      <c r="AQ137" s="11">
        <v>2.7</v>
      </c>
      <c r="AR137" s="11">
        <v>2</v>
      </c>
      <c r="AS137" s="11">
        <v>2</v>
      </c>
      <c r="AT137" s="11">
        <v>1.6</v>
      </c>
      <c r="AU137" s="11">
        <v>2.4</v>
      </c>
      <c r="AV137" s="11">
        <v>-0.95199999999999996</v>
      </c>
      <c r="AW137" s="11">
        <v>3.2</v>
      </c>
      <c r="AX137" s="11">
        <v>-1.8</v>
      </c>
      <c r="AY137" s="11">
        <v>2</v>
      </c>
      <c r="AZ137" s="11">
        <v>-3.3</v>
      </c>
      <c r="BA137" s="11">
        <v>3.51</v>
      </c>
    </row>
    <row r="138" spans="34:53" x14ac:dyDescent="0.25">
      <c r="AH138" s="11">
        <v>1.5</v>
      </c>
      <c r="AI138" s="11">
        <v>1.9</v>
      </c>
      <c r="AJ138" s="11">
        <v>2.5</v>
      </c>
      <c r="AK138" s="11">
        <v>3.7</v>
      </c>
      <c r="AL138" s="11">
        <v>0.2</v>
      </c>
      <c r="AM138" s="11">
        <v>0.3</v>
      </c>
      <c r="AN138" s="11">
        <v>8.8000000000000007</v>
      </c>
      <c r="AO138" s="11">
        <v>3.2</v>
      </c>
      <c r="AP138" s="11">
        <v>0.6</v>
      </c>
      <c r="AQ138" s="11">
        <v>2.7</v>
      </c>
      <c r="AR138" s="11">
        <v>2</v>
      </c>
      <c r="AS138" s="11">
        <v>2.1</v>
      </c>
      <c r="AT138" s="11">
        <v>1.6</v>
      </c>
      <c r="AU138" s="11">
        <v>2.2999999999999998</v>
      </c>
      <c r="AV138" s="11">
        <v>-0.95199999999999996</v>
      </c>
      <c r="AW138" s="11">
        <v>3.3</v>
      </c>
      <c r="AX138" s="11">
        <v>-1.8</v>
      </c>
      <c r="AY138" s="11">
        <v>1.9</v>
      </c>
      <c r="AZ138" s="11">
        <v>-3.3</v>
      </c>
      <c r="BA138" s="11">
        <v>3.6</v>
      </c>
    </row>
    <row r="139" spans="34:53" x14ac:dyDescent="0.25">
      <c r="AH139" s="11">
        <v>2.6</v>
      </c>
      <c r="AI139" s="11">
        <v>2</v>
      </c>
      <c r="AJ139" s="11">
        <v>1.6</v>
      </c>
      <c r="AK139" s="11">
        <v>3.6</v>
      </c>
      <c r="AL139" s="11">
        <v>3</v>
      </c>
      <c r="AM139" s="11">
        <v>0.5</v>
      </c>
      <c r="AN139" s="11">
        <v>8.1</v>
      </c>
      <c r="AO139" s="11">
        <v>3.6</v>
      </c>
      <c r="AP139" s="11">
        <v>-0.5</v>
      </c>
      <c r="AQ139" s="11">
        <v>2.7</v>
      </c>
      <c r="AR139" s="11">
        <v>1.5</v>
      </c>
      <c r="AS139" s="11">
        <v>2.2000000000000002</v>
      </c>
      <c r="AT139" s="11">
        <v>0.7</v>
      </c>
      <c r="AU139" s="11">
        <v>2.2999999999999998</v>
      </c>
      <c r="AV139" s="11">
        <v>-2.492</v>
      </c>
      <c r="AW139" s="11">
        <v>3.2</v>
      </c>
      <c r="AX139" s="11">
        <v>-2.5</v>
      </c>
      <c r="AY139" s="11">
        <v>1.8</v>
      </c>
      <c r="AZ139" s="11">
        <v>-3.2</v>
      </c>
      <c r="BA139" s="11">
        <v>3.15</v>
      </c>
    </row>
    <row r="140" spans="34:53" x14ac:dyDescent="0.25">
      <c r="AH140" s="11">
        <v>2.6</v>
      </c>
      <c r="AI140" s="11">
        <v>2</v>
      </c>
      <c r="AJ140" s="11">
        <v>1.6</v>
      </c>
      <c r="AK140" s="11">
        <v>3.5</v>
      </c>
      <c r="AL140" s="11">
        <v>3</v>
      </c>
      <c r="AM140" s="11">
        <v>0.4</v>
      </c>
      <c r="AN140" s="11">
        <v>8.1</v>
      </c>
      <c r="AO140" s="11">
        <v>3.4</v>
      </c>
      <c r="AP140" s="11">
        <v>-0.5</v>
      </c>
      <c r="AQ140" s="11">
        <v>2.6</v>
      </c>
      <c r="AR140" s="11">
        <v>1.5</v>
      </c>
      <c r="AS140" s="11">
        <v>1.9</v>
      </c>
      <c r="AT140" s="11">
        <v>0.7</v>
      </c>
      <c r="AU140" s="11">
        <v>2.1</v>
      </c>
      <c r="AV140" s="11">
        <v>-2.492</v>
      </c>
      <c r="AW140" s="11">
        <v>3.2</v>
      </c>
      <c r="AX140" s="11">
        <v>-2.5</v>
      </c>
      <c r="AY140" s="11">
        <v>2</v>
      </c>
      <c r="AZ140" s="11">
        <v>-3.2</v>
      </c>
      <c r="BA140" s="11">
        <v>3.01</v>
      </c>
    </row>
    <row r="141" spans="34:53" x14ac:dyDescent="0.25">
      <c r="AH141" s="11">
        <v>2.6</v>
      </c>
      <c r="AI141" s="11">
        <v>2</v>
      </c>
      <c r="AJ141" s="11">
        <v>1.6</v>
      </c>
      <c r="AK141" s="11">
        <v>3.1</v>
      </c>
      <c r="AL141" s="11">
        <v>3</v>
      </c>
      <c r="AM141" s="11">
        <v>0.2</v>
      </c>
      <c r="AN141" s="11">
        <v>8.1</v>
      </c>
      <c r="AO141" s="11">
        <v>3</v>
      </c>
      <c r="AP141" s="11">
        <v>-0.5</v>
      </c>
      <c r="AQ141" s="11">
        <v>2.4</v>
      </c>
      <c r="AR141" s="11">
        <v>1.5</v>
      </c>
      <c r="AS141" s="11">
        <v>1.9</v>
      </c>
      <c r="AT141" s="11">
        <v>0.7</v>
      </c>
      <c r="AU141" s="11">
        <v>2</v>
      </c>
      <c r="AV141" s="11">
        <v>-2.492</v>
      </c>
      <c r="AW141" s="11">
        <v>3</v>
      </c>
      <c r="AX141" s="11">
        <v>-2.5</v>
      </c>
      <c r="AY141" s="11">
        <v>1.9</v>
      </c>
      <c r="AZ141" s="11">
        <v>-3.2</v>
      </c>
      <c r="BA141" s="11">
        <v>2.7</v>
      </c>
    </row>
    <row r="142" spans="34:53" x14ac:dyDescent="0.25">
      <c r="AH142" s="11">
        <v>2.4</v>
      </c>
      <c r="AI142" s="11">
        <v>1.8</v>
      </c>
      <c r="AJ142" s="11">
        <v>3.2</v>
      </c>
      <c r="AK142" s="11">
        <v>2.8</v>
      </c>
      <c r="AL142" s="11">
        <v>2.8</v>
      </c>
      <c r="AM142" s="11">
        <v>-0.2</v>
      </c>
      <c r="AN142" s="11">
        <v>7.7</v>
      </c>
      <c r="AO142" s="11">
        <v>2.2000000000000002</v>
      </c>
      <c r="AP142" s="11">
        <v>-0.8</v>
      </c>
      <c r="AQ142" s="11">
        <v>2.4</v>
      </c>
      <c r="AR142" s="11">
        <v>0.4</v>
      </c>
      <c r="AS142" s="11">
        <v>1.7</v>
      </c>
      <c r="AT142" s="11">
        <v>0.5</v>
      </c>
      <c r="AU142" s="11">
        <v>1.9</v>
      </c>
      <c r="AV142" s="11">
        <v>-3.2549999999999999</v>
      </c>
      <c r="AW142" s="11">
        <v>3.1</v>
      </c>
      <c r="AX142" s="11">
        <v>-3.2</v>
      </c>
      <c r="AY142" s="11">
        <v>1.8</v>
      </c>
      <c r="AZ142" s="11">
        <v>-4.0999999999999996</v>
      </c>
      <c r="BA142" s="11">
        <v>2.71</v>
      </c>
    </row>
    <row r="143" spans="34:53" x14ac:dyDescent="0.25">
      <c r="AH143" s="11">
        <v>2.4</v>
      </c>
      <c r="AI143" s="11">
        <v>1.8</v>
      </c>
      <c r="AJ143" s="11">
        <v>3.2</v>
      </c>
      <c r="AK143" s="11">
        <v>3.2</v>
      </c>
      <c r="AL143" s="11">
        <v>2.8</v>
      </c>
      <c r="AM143" s="11">
        <v>-0.4</v>
      </c>
      <c r="AN143" s="11">
        <v>7.7</v>
      </c>
      <c r="AO143" s="11">
        <v>1.8</v>
      </c>
      <c r="AP143" s="11">
        <v>-0.8</v>
      </c>
      <c r="AQ143" s="11">
        <v>2.4</v>
      </c>
      <c r="AR143" s="11">
        <v>0.4</v>
      </c>
      <c r="AS143" s="11">
        <v>1.9</v>
      </c>
      <c r="AT143" s="11">
        <v>0.5</v>
      </c>
      <c r="AU143" s="11">
        <v>1.9</v>
      </c>
      <c r="AV143" s="11">
        <v>-3.2549999999999999</v>
      </c>
      <c r="AW143" s="11">
        <v>2.9</v>
      </c>
      <c r="AX143" s="11">
        <v>-3.2</v>
      </c>
      <c r="AY143" s="11">
        <v>2.2000000000000002</v>
      </c>
      <c r="AZ143" s="11">
        <v>-4.0999999999999996</v>
      </c>
      <c r="BA143" s="11">
        <v>2.77</v>
      </c>
    </row>
    <row r="144" spans="34:53" x14ac:dyDescent="0.25">
      <c r="AH144" s="11">
        <v>2.4</v>
      </c>
      <c r="AI144" s="11">
        <v>1.8</v>
      </c>
      <c r="AJ144" s="11">
        <v>3.2</v>
      </c>
      <c r="AK144" s="11">
        <v>2.9</v>
      </c>
      <c r="AL144" s="11">
        <v>2.8</v>
      </c>
      <c r="AM144" s="11">
        <v>-0.4</v>
      </c>
      <c r="AN144" s="11">
        <v>7.7</v>
      </c>
      <c r="AO144" s="11">
        <v>2</v>
      </c>
      <c r="AP144" s="11">
        <v>-0.8</v>
      </c>
      <c r="AQ144" s="11">
        <v>2.6</v>
      </c>
      <c r="AR144" s="11">
        <v>0.4</v>
      </c>
      <c r="AS144" s="11">
        <v>2.1</v>
      </c>
      <c r="AT144" s="11">
        <v>0.5</v>
      </c>
      <c r="AU144" s="11">
        <v>2.1</v>
      </c>
      <c r="AV144" s="11">
        <v>-3.2549999999999999</v>
      </c>
      <c r="AW144" s="11">
        <v>3.1</v>
      </c>
      <c r="AX144" s="11">
        <v>-3.2</v>
      </c>
      <c r="AY144" s="11">
        <v>2.7</v>
      </c>
      <c r="AZ144" s="11">
        <v>-4.0999999999999996</v>
      </c>
      <c r="BA144" s="11">
        <v>3.08</v>
      </c>
    </row>
    <row r="145" spans="34:53" x14ac:dyDescent="0.25">
      <c r="AH145" s="11">
        <v>2.6</v>
      </c>
      <c r="AI145" s="11">
        <v>1.7</v>
      </c>
      <c r="AJ145" s="11">
        <v>4.7</v>
      </c>
      <c r="AK145" s="11">
        <v>2.6</v>
      </c>
      <c r="AL145" s="11">
        <v>-0.1</v>
      </c>
      <c r="AM145" s="11">
        <v>-0.3</v>
      </c>
      <c r="AN145" s="11">
        <v>7.5</v>
      </c>
      <c r="AO145" s="11">
        <v>1.9</v>
      </c>
      <c r="AP145" s="11">
        <v>-1</v>
      </c>
      <c r="AQ145" s="11">
        <v>2.6</v>
      </c>
      <c r="AR145" s="11">
        <v>-0.1</v>
      </c>
      <c r="AS145" s="11">
        <v>2</v>
      </c>
      <c r="AT145" s="11">
        <v>0.3</v>
      </c>
      <c r="AU145" s="11">
        <v>1.9</v>
      </c>
      <c r="AV145" s="11">
        <v>-3.2509999999999999</v>
      </c>
      <c r="AW145" s="11">
        <v>3.1</v>
      </c>
      <c r="AX145" s="11">
        <v>-3</v>
      </c>
      <c r="AY145" s="11">
        <v>3.5</v>
      </c>
      <c r="AZ145" s="11">
        <v>-4.4000000000000004</v>
      </c>
      <c r="BA145" s="11">
        <v>2.88</v>
      </c>
    </row>
    <row r="146" spans="34:53" x14ac:dyDescent="0.25">
      <c r="AH146" s="11">
        <v>2.6</v>
      </c>
      <c r="AI146" s="11">
        <v>1.7</v>
      </c>
      <c r="AJ146" s="11">
        <v>4.7</v>
      </c>
      <c r="AK146" s="11">
        <v>3.2</v>
      </c>
      <c r="AL146" s="11">
        <v>-0.1</v>
      </c>
      <c r="AM146" s="11">
        <v>-0.4</v>
      </c>
      <c r="AN146" s="11">
        <v>7.5</v>
      </c>
      <c r="AO146" s="11">
        <v>1.7</v>
      </c>
      <c r="AP146" s="11">
        <v>-1</v>
      </c>
      <c r="AQ146" s="11">
        <v>2.5</v>
      </c>
      <c r="AR146" s="11">
        <v>-0.1</v>
      </c>
      <c r="AS146" s="11">
        <v>2</v>
      </c>
      <c r="AT146" s="11">
        <v>0.3</v>
      </c>
      <c r="AU146" s="11">
        <v>1.9</v>
      </c>
      <c r="AV146" s="11">
        <v>-3.2509999999999999</v>
      </c>
      <c r="AW146" s="11">
        <v>2.7</v>
      </c>
      <c r="AX146" s="11">
        <v>-3</v>
      </c>
      <c r="AY146" s="11">
        <v>3.5</v>
      </c>
      <c r="AZ146" s="11">
        <v>-4.4000000000000004</v>
      </c>
      <c r="BA146" s="11">
        <v>2.13</v>
      </c>
    </row>
    <row r="147" spans="34:53" x14ac:dyDescent="0.25">
      <c r="AH147" s="11">
        <v>2.6</v>
      </c>
      <c r="AI147" s="11">
        <v>1.7</v>
      </c>
      <c r="AJ147" s="11">
        <v>4.7</v>
      </c>
      <c r="AK147" s="11">
        <v>3</v>
      </c>
      <c r="AL147" s="11">
        <v>-0.1</v>
      </c>
      <c r="AM147" s="11">
        <v>-0.2</v>
      </c>
      <c r="AN147" s="11">
        <v>7.5</v>
      </c>
      <c r="AO147" s="11">
        <v>2</v>
      </c>
      <c r="AP147" s="11">
        <v>-1</v>
      </c>
      <c r="AQ147" s="11">
        <v>2.2000000000000002</v>
      </c>
      <c r="AR147" s="11">
        <v>-0.1</v>
      </c>
      <c r="AS147" s="11">
        <v>2</v>
      </c>
      <c r="AT147" s="11">
        <v>0.3</v>
      </c>
      <c r="AU147" s="11">
        <v>1.4</v>
      </c>
      <c r="AV147" s="11">
        <v>-3.2509999999999999</v>
      </c>
      <c r="AW147" s="11">
        <v>2.4</v>
      </c>
      <c r="AX147" s="11">
        <v>-3</v>
      </c>
      <c r="AY147" s="11">
        <v>3</v>
      </c>
      <c r="AZ147" s="11">
        <v>-4.4000000000000004</v>
      </c>
      <c r="BA147" s="11">
        <v>1.89</v>
      </c>
    </row>
    <row r="148" spans="34:53" x14ac:dyDescent="0.25">
      <c r="AH148" s="11">
        <v>1.6</v>
      </c>
      <c r="AI148" s="11">
        <v>2.1</v>
      </c>
      <c r="AJ148" s="11">
        <v>3.4</v>
      </c>
      <c r="AK148" s="11">
        <v>3.1</v>
      </c>
      <c r="AL148" s="11">
        <v>-0.1</v>
      </c>
      <c r="AM148" s="11">
        <v>-0.1</v>
      </c>
      <c r="AN148" s="11">
        <v>8.1</v>
      </c>
      <c r="AO148" s="11">
        <v>2.5</v>
      </c>
      <c r="AP148" s="11">
        <v>-1</v>
      </c>
      <c r="AQ148" s="11">
        <v>2.2000000000000002</v>
      </c>
      <c r="AR148" s="11">
        <v>-0.1</v>
      </c>
      <c r="AS148" s="11">
        <v>2</v>
      </c>
      <c r="AT148" s="11">
        <v>0.1</v>
      </c>
      <c r="AU148" s="11">
        <v>1.3</v>
      </c>
      <c r="AV148" s="11">
        <v>-3.0590000000000002</v>
      </c>
      <c r="AW148" s="11">
        <v>2.4</v>
      </c>
      <c r="AX148" s="11">
        <v>-3.1</v>
      </c>
      <c r="AY148" s="11">
        <v>3</v>
      </c>
      <c r="AZ148" s="11">
        <v>-4.5</v>
      </c>
      <c r="BA148" s="11">
        <v>1.92</v>
      </c>
    </row>
    <row r="149" spans="34:53" x14ac:dyDescent="0.25">
      <c r="AH149" s="11">
        <v>1.6</v>
      </c>
      <c r="AI149" s="11">
        <v>2.1</v>
      </c>
      <c r="AJ149" s="11">
        <v>3.4</v>
      </c>
      <c r="AK149" s="11">
        <v>3.3</v>
      </c>
      <c r="AL149" s="11">
        <v>-0.1</v>
      </c>
      <c r="AM149" s="11">
        <v>-0.3</v>
      </c>
      <c r="AN149" s="11">
        <v>8.1</v>
      </c>
      <c r="AO149" s="11">
        <v>2</v>
      </c>
      <c r="AP149" s="11">
        <v>-1</v>
      </c>
      <c r="AQ149" s="11">
        <v>2</v>
      </c>
      <c r="AR149" s="11">
        <v>-0.1</v>
      </c>
      <c r="AS149" s="11">
        <v>1.7</v>
      </c>
      <c r="AT149" s="11">
        <v>0.1</v>
      </c>
      <c r="AU149" s="11">
        <v>1.2</v>
      </c>
      <c r="AV149" s="11">
        <v>-3.0590000000000002</v>
      </c>
      <c r="AW149" s="11">
        <v>2.2000000000000002</v>
      </c>
      <c r="AX149" s="11">
        <v>-3.1</v>
      </c>
      <c r="AY149" s="11">
        <v>2.8</v>
      </c>
      <c r="AZ149" s="11">
        <v>-4.5</v>
      </c>
      <c r="BA149" s="11">
        <v>0.17</v>
      </c>
    </row>
    <row r="150" spans="34:53" x14ac:dyDescent="0.25">
      <c r="AH150" s="11">
        <v>1.6</v>
      </c>
      <c r="AI150" s="11">
        <v>2.1</v>
      </c>
      <c r="AJ150" s="11">
        <v>3.4</v>
      </c>
      <c r="AK150" s="11">
        <v>3.2</v>
      </c>
      <c r="AL150" s="11">
        <v>-0.1</v>
      </c>
      <c r="AM150" s="11">
        <v>-0.7</v>
      </c>
      <c r="AN150" s="11">
        <v>8.1</v>
      </c>
      <c r="AO150" s="11">
        <v>3.2</v>
      </c>
      <c r="AP150" s="11">
        <v>-1</v>
      </c>
      <c r="AQ150" s="11">
        <v>1.9</v>
      </c>
      <c r="AR150" s="11">
        <v>-0.1</v>
      </c>
      <c r="AS150" s="11">
        <v>1.6</v>
      </c>
      <c r="AT150" s="11">
        <v>0.1</v>
      </c>
      <c r="AU150" s="11">
        <v>1</v>
      </c>
      <c r="AV150" s="11">
        <v>-3.0590000000000002</v>
      </c>
      <c r="AW150" s="11">
        <v>1.8</v>
      </c>
      <c r="AX150" s="11">
        <v>-3.1</v>
      </c>
      <c r="AY150" s="11">
        <v>2.9</v>
      </c>
      <c r="AZ150" s="11">
        <v>-4.5</v>
      </c>
      <c r="BA150" s="11">
        <v>-0.03</v>
      </c>
    </row>
    <row r="151" spans="34:53" x14ac:dyDescent="0.25">
      <c r="AH151" s="11">
        <v>1.6</v>
      </c>
      <c r="AI151" s="11">
        <v>1.8</v>
      </c>
      <c r="AJ151" s="11">
        <v>3.7</v>
      </c>
      <c r="AK151" s="11">
        <v>3.3</v>
      </c>
      <c r="AL151" s="11">
        <v>0</v>
      </c>
      <c r="AM151" s="11">
        <v>-0.9</v>
      </c>
      <c r="AN151" s="11">
        <v>7.9</v>
      </c>
      <c r="AO151" s="11">
        <v>2.1</v>
      </c>
      <c r="AP151" s="11">
        <v>-1.2</v>
      </c>
      <c r="AQ151" s="11">
        <v>1.7</v>
      </c>
      <c r="AR151" s="11">
        <v>-1.5</v>
      </c>
      <c r="AS151" s="11">
        <v>1.3</v>
      </c>
      <c r="AT151" s="11">
        <v>0</v>
      </c>
      <c r="AU151" s="11">
        <v>1</v>
      </c>
      <c r="AV151" s="11">
        <v>-2.91</v>
      </c>
      <c r="AW151" s="11">
        <v>1.6</v>
      </c>
      <c r="AX151" s="11">
        <v>-2.5</v>
      </c>
      <c r="AY151" s="11">
        <v>2.6</v>
      </c>
      <c r="AZ151" s="11">
        <v>-3.6</v>
      </c>
      <c r="BA151" s="11">
        <v>0.45</v>
      </c>
    </row>
    <row r="152" spans="34:53" x14ac:dyDescent="0.25">
      <c r="AH152" s="11">
        <v>1.6</v>
      </c>
      <c r="AI152" s="11">
        <v>1.8</v>
      </c>
      <c r="AJ152" s="11">
        <v>3.7</v>
      </c>
      <c r="AK152" s="11">
        <v>2.9</v>
      </c>
      <c r="AL152" s="11">
        <v>0</v>
      </c>
      <c r="AM152" s="11">
        <v>-0.7</v>
      </c>
      <c r="AN152" s="11">
        <v>7.9</v>
      </c>
      <c r="AO152" s="11">
        <v>2.4</v>
      </c>
      <c r="AP152" s="11">
        <v>-1.2</v>
      </c>
      <c r="AQ152" s="11">
        <v>1.2</v>
      </c>
      <c r="AR152" s="11">
        <v>-1.5</v>
      </c>
      <c r="AS152" s="11">
        <v>1.1000000000000001</v>
      </c>
      <c r="AT152" s="11">
        <v>0</v>
      </c>
      <c r="AU152" s="11">
        <v>0.7</v>
      </c>
      <c r="AV152" s="11">
        <v>-2.91</v>
      </c>
      <c r="AW152" s="11">
        <v>1.1000000000000001</v>
      </c>
      <c r="AX152" s="11">
        <v>-2.5</v>
      </c>
      <c r="AY152" s="11">
        <v>1.5</v>
      </c>
      <c r="AZ152" s="11">
        <v>-3.6</v>
      </c>
      <c r="BA152" s="11">
        <v>0.18</v>
      </c>
    </row>
    <row r="153" spans="34:53" x14ac:dyDescent="0.25">
      <c r="AH153" s="11">
        <v>1.6</v>
      </c>
      <c r="AI153" s="11">
        <v>1.8</v>
      </c>
      <c r="AJ153" s="11">
        <v>3.7</v>
      </c>
      <c r="AK153" s="11">
        <v>3.1</v>
      </c>
      <c r="AL153" s="11">
        <v>0</v>
      </c>
      <c r="AM153" s="11">
        <v>-0.3</v>
      </c>
      <c r="AN153" s="11">
        <v>7.9</v>
      </c>
      <c r="AO153" s="11">
        <v>2.1</v>
      </c>
      <c r="AP153" s="11">
        <v>-1.2</v>
      </c>
      <c r="AQ153" s="11">
        <v>1.4</v>
      </c>
      <c r="AR153" s="11">
        <v>-1.5</v>
      </c>
      <c r="AS153" s="11">
        <v>1.7</v>
      </c>
      <c r="AT153" s="11">
        <v>0</v>
      </c>
      <c r="AU153" s="11">
        <v>0.8</v>
      </c>
      <c r="AV153" s="11">
        <v>-2.91</v>
      </c>
      <c r="AW153" s="11">
        <v>1.2</v>
      </c>
      <c r="AX153" s="11">
        <v>-2.5</v>
      </c>
      <c r="AY153" s="11">
        <v>1.8</v>
      </c>
      <c r="AZ153" s="11">
        <v>-3.6</v>
      </c>
      <c r="BA153" s="11">
        <v>0.71</v>
      </c>
    </row>
    <row r="154" spans="34:53" x14ac:dyDescent="0.25">
      <c r="AH154" s="11">
        <v>1.3</v>
      </c>
      <c r="AI154" s="11">
        <v>1.7</v>
      </c>
      <c r="AJ154" s="11">
        <v>3.9</v>
      </c>
      <c r="AK154" s="11">
        <v>3.3</v>
      </c>
      <c r="AL154" s="11">
        <v>1.8</v>
      </c>
      <c r="AM154" s="11">
        <v>0.2</v>
      </c>
      <c r="AN154" s="11">
        <v>7.6</v>
      </c>
      <c r="AO154" s="11">
        <v>2.7</v>
      </c>
      <c r="AP154" s="11">
        <v>-0.4</v>
      </c>
      <c r="AQ154" s="11">
        <v>1.6</v>
      </c>
      <c r="AR154" s="11">
        <v>0.8</v>
      </c>
      <c r="AS154" s="11">
        <v>1.9</v>
      </c>
      <c r="AT154" s="11">
        <v>0.8</v>
      </c>
      <c r="AU154" s="11">
        <v>0.9</v>
      </c>
      <c r="AV154" s="11">
        <v>-2.1680000000000001</v>
      </c>
      <c r="AW154" s="11">
        <v>1.2</v>
      </c>
      <c r="AX154" s="11">
        <v>-1.7</v>
      </c>
      <c r="AY154" s="11">
        <v>2.2000000000000002</v>
      </c>
      <c r="AZ154" s="11">
        <v>-1.5</v>
      </c>
      <c r="BA154" s="11">
        <v>0.98</v>
      </c>
    </row>
    <row r="155" spans="34:53" x14ac:dyDescent="0.25">
      <c r="AH155" s="11">
        <v>1.3</v>
      </c>
      <c r="AI155" s="11">
        <v>1.7</v>
      </c>
      <c r="AJ155" s="11">
        <v>3.9</v>
      </c>
      <c r="AK155" s="11">
        <v>3.1</v>
      </c>
      <c r="AL155" s="11">
        <v>1.8</v>
      </c>
      <c r="AM155" s="11">
        <v>0.7</v>
      </c>
      <c r="AN155" s="11">
        <v>7.6</v>
      </c>
      <c r="AO155" s="11">
        <v>2.7</v>
      </c>
      <c r="AP155" s="11">
        <v>-0.4</v>
      </c>
      <c r="AQ155" s="11">
        <v>1.6</v>
      </c>
      <c r="AR155" s="11">
        <v>0.8</v>
      </c>
      <c r="AS155" s="11">
        <v>1.9</v>
      </c>
      <c r="AT155" s="11">
        <v>0.8</v>
      </c>
      <c r="AU155" s="11">
        <v>1.1000000000000001</v>
      </c>
      <c r="AV155" s="11">
        <v>-2.1680000000000001</v>
      </c>
      <c r="AW155" s="11">
        <v>1.2</v>
      </c>
      <c r="AX155" s="11">
        <v>-1.7</v>
      </c>
      <c r="AY155" s="11">
        <v>1.9</v>
      </c>
      <c r="AZ155" s="11">
        <v>-1.5</v>
      </c>
      <c r="BA155" s="11">
        <v>0.76</v>
      </c>
    </row>
    <row r="156" spans="34:53" x14ac:dyDescent="0.25">
      <c r="AH156" s="11">
        <v>1.3</v>
      </c>
      <c r="AI156" s="11">
        <v>1.7</v>
      </c>
      <c r="AJ156" s="11">
        <v>3.9</v>
      </c>
      <c r="AK156" s="11">
        <v>3.3</v>
      </c>
      <c r="AL156" s="11">
        <v>1.8</v>
      </c>
      <c r="AM156" s="11">
        <v>0.9</v>
      </c>
      <c r="AN156" s="11">
        <v>7.6</v>
      </c>
      <c r="AO156" s="11">
        <v>2.6</v>
      </c>
      <c r="AP156" s="11">
        <v>-0.4</v>
      </c>
      <c r="AQ156" s="11">
        <v>1.3</v>
      </c>
      <c r="AR156" s="11">
        <v>0.8</v>
      </c>
      <c r="AS156" s="11">
        <v>1.5</v>
      </c>
      <c r="AT156" s="11">
        <v>0.8</v>
      </c>
      <c r="AU156" s="11">
        <v>0.9</v>
      </c>
      <c r="AV156" s="11">
        <v>-2.1680000000000001</v>
      </c>
      <c r="AW156" s="11">
        <v>1.1000000000000001</v>
      </c>
      <c r="AX156" s="11">
        <v>-1.7</v>
      </c>
      <c r="AY156" s="11">
        <v>1.6</v>
      </c>
      <c r="AZ156" s="11">
        <v>-1.5</v>
      </c>
      <c r="BA156" s="11">
        <v>0.15</v>
      </c>
    </row>
    <row r="157" spans="34:53" x14ac:dyDescent="0.25">
      <c r="AH157" s="11">
        <v>1.9</v>
      </c>
      <c r="AI157" s="11">
        <v>1.7</v>
      </c>
      <c r="AJ157" s="11">
        <v>3.8</v>
      </c>
      <c r="AK157" s="11">
        <v>3.2</v>
      </c>
      <c r="AL157" s="11">
        <v>3</v>
      </c>
      <c r="AM157" s="11">
        <v>1.1000000000000001</v>
      </c>
      <c r="AN157" s="11">
        <v>7.9</v>
      </c>
      <c r="AO157" s="11">
        <v>3.1</v>
      </c>
      <c r="AP157" s="11">
        <v>0.1</v>
      </c>
      <c r="AQ157" s="11">
        <v>1.1000000000000001</v>
      </c>
      <c r="AR157" s="11">
        <v>1.2</v>
      </c>
      <c r="AS157" s="11">
        <v>1.4</v>
      </c>
      <c r="AT157" s="11">
        <v>0.6</v>
      </c>
      <c r="AU157" s="11">
        <v>0.9</v>
      </c>
      <c r="AV157" s="11">
        <v>-1.4319999999999999</v>
      </c>
      <c r="AW157" s="11">
        <v>0.8</v>
      </c>
      <c r="AX157" s="11">
        <v>-1.2</v>
      </c>
      <c r="AY157" s="11">
        <v>0.5</v>
      </c>
      <c r="AZ157" s="11">
        <v>-0.6</v>
      </c>
      <c r="BA157" s="11">
        <v>0.12</v>
      </c>
    </row>
    <row r="158" spans="34:53" x14ac:dyDescent="0.25">
      <c r="AH158" s="11">
        <v>1.9</v>
      </c>
      <c r="AI158" s="11">
        <v>1.7</v>
      </c>
      <c r="AJ158" s="11">
        <v>3.8</v>
      </c>
      <c r="AK158" s="11">
        <v>2.6</v>
      </c>
      <c r="AL158" s="11">
        <v>3</v>
      </c>
      <c r="AM158" s="11">
        <v>1.1000000000000001</v>
      </c>
      <c r="AN158" s="11">
        <v>7.9</v>
      </c>
      <c r="AO158" s="11">
        <v>3.2</v>
      </c>
      <c r="AP158" s="11">
        <v>0.1</v>
      </c>
      <c r="AQ158" s="11">
        <v>0.7</v>
      </c>
      <c r="AR158" s="11">
        <v>1.2</v>
      </c>
      <c r="AS158" s="11">
        <v>1.2</v>
      </c>
      <c r="AT158" s="11">
        <v>0.6</v>
      </c>
      <c r="AU158" s="11">
        <v>0.6</v>
      </c>
      <c r="AV158" s="11">
        <v>-1.4319999999999999</v>
      </c>
      <c r="AW158" s="11">
        <v>0.7</v>
      </c>
      <c r="AX158" s="11">
        <v>-1.2</v>
      </c>
      <c r="AY158" s="11">
        <v>0</v>
      </c>
      <c r="AZ158" s="11">
        <v>-0.6</v>
      </c>
      <c r="BA158" s="11">
        <v>-0.25</v>
      </c>
    </row>
    <row r="159" spans="34:53" x14ac:dyDescent="0.25">
      <c r="AH159" s="11">
        <v>1.9</v>
      </c>
      <c r="AI159" s="11">
        <v>1.7</v>
      </c>
      <c r="AJ159" s="11">
        <v>3.8</v>
      </c>
      <c r="AK159" s="11">
        <v>2.6</v>
      </c>
      <c r="AL159" s="11">
        <v>3</v>
      </c>
      <c r="AM159" s="11">
        <v>1.5</v>
      </c>
      <c r="AN159" s="11">
        <v>7.9</v>
      </c>
      <c r="AO159" s="11">
        <v>3</v>
      </c>
      <c r="AP159" s="11">
        <v>0.1</v>
      </c>
      <c r="AQ159" s="11">
        <v>0.9</v>
      </c>
      <c r="AR159" s="11">
        <v>1.2</v>
      </c>
      <c r="AS159" s="11">
        <v>1.3</v>
      </c>
      <c r="AT159" s="11">
        <v>0.6</v>
      </c>
      <c r="AU159" s="11">
        <v>0.7</v>
      </c>
      <c r="AV159" s="11">
        <v>-1.4319999999999999</v>
      </c>
      <c r="AW159" s="11">
        <v>0.6</v>
      </c>
      <c r="AX159" s="11">
        <v>-1.2</v>
      </c>
      <c r="AY159" s="11">
        <v>0.3</v>
      </c>
      <c r="AZ159" s="11">
        <v>-0.6</v>
      </c>
      <c r="BA159" s="11">
        <v>-0.15</v>
      </c>
    </row>
    <row r="160" spans="34:53" x14ac:dyDescent="0.25">
      <c r="AH160" s="11">
        <v>2.5</v>
      </c>
      <c r="AI160" s="11">
        <v>1.8</v>
      </c>
      <c r="AJ160" s="11">
        <v>4.8</v>
      </c>
      <c r="AK160" s="11">
        <v>2.7</v>
      </c>
      <c r="AL160" s="11">
        <v>3.1</v>
      </c>
      <c r="AM160" s="11">
        <v>1.6</v>
      </c>
      <c r="AN160" s="11">
        <v>7.7</v>
      </c>
      <c r="AO160" s="11">
        <v>2.5</v>
      </c>
      <c r="AP160" s="11">
        <v>0.7</v>
      </c>
      <c r="AQ160" s="11">
        <v>0.8</v>
      </c>
      <c r="AR160" s="11">
        <v>1.2</v>
      </c>
      <c r="AS160" s="11">
        <v>1.4</v>
      </c>
      <c r="AT160" s="11">
        <v>1.1000000000000001</v>
      </c>
      <c r="AU160" s="11">
        <v>0.7</v>
      </c>
      <c r="AV160" s="11">
        <v>-0.90500000000000003</v>
      </c>
      <c r="AW160" s="11">
        <v>0.6</v>
      </c>
      <c r="AX160" s="11">
        <v>-0.3</v>
      </c>
      <c r="AY160" s="11">
        <v>0.3</v>
      </c>
      <c r="AZ160" s="11">
        <v>2.1</v>
      </c>
      <c r="BA160" s="11">
        <v>0.2</v>
      </c>
    </row>
    <row r="161" spans="34:53" x14ac:dyDescent="0.25">
      <c r="AH161" s="11">
        <v>2.5</v>
      </c>
      <c r="AI161" s="11">
        <v>1.8</v>
      </c>
      <c r="AJ161" s="11">
        <v>4.8</v>
      </c>
      <c r="AK161" s="11">
        <v>2.8</v>
      </c>
      <c r="AL161" s="11">
        <v>3.1</v>
      </c>
      <c r="AM161" s="11">
        <v>1.4</v>
      </c>
      <c r="AN161" s="11">
        <v>7.7</v>
      </c>
      <c r="AO161" s="11">
        <v>2.5</v>
      </c>
      <c r="AP161" s="11">
        <v>0.7</v>
      </c>
      <c r="AQ161" s="11">
        <v>0.8</v>
      </c>
      <c r="AR161" s="11">
        <v>1.2</v>
      </c>
      <c r="AS161" s="11">
        <v>1.4</v>
      </c>
      <c r="AT161" s="11">
        <v>1.1000000000000001</v>
      </c>
      <c r="AU161" s="11">
        <v>0.6</v>
      </c>
      <c r="AV161" s="11">
        <v>-0.90500000000000003</v>
      </c>
      <c r="AW161" s="11">
        <v>0.6</v>
      </c>
      <c r="AX161" s="11">
        <v>-0.3</v>
      </c>
      <c r="AY161" s="11">
        <v>0.3</v>
      </c>
      <c r="AZ161" s="11">
        <v>2.1</v>
      </c>
      <c r="BA161" s="11">
        <v>0.06</v>
      </c>
    </row>
    <row r="162" spans="34:53" x14ac:dyDescent="0.25">
      <c r="AH162" s="11">
        <v>2.5</v>
      </c>
      <c r="AI162" s="11">
        <v>1.8</v>
      </c>
      <c r="AJ162" s="11">
        <v>4.8</v>
      </c>
      <c r="AK162" s="11">
        <v>2.7</v>
      </c>
      <c r="AL162" s="11">
        <v>3.1</v>
      </c>
      <c r="AM162" s="11">
        <v>1.5</v>
      </c>
      <c r="AN162" s="11">
        <v>7.7</v>
      </c>
      <c r="AO162" s="11">
        <v>2</v>
      </c>
      <c r="AP162" s="11">
        <v>0.7</v>
      </c>
      <c r="AQ162" s="11">
        <v>0.7</v>
      </c>
      <c r="AR162" s="11">
        <v>1.2</v>
      </c>
      <c r="AS162" s="11">
        <v>1.2</v>
      </c>
      <c r="AT162" s="11">
        <v>1.1000000000000001</v>
      </c>
      <c r="AU162" s="11">
        <v>0.9</v>
      </c>
      <c r="AV162" s="11">
        <v>-0.90500000000000003</v>
      </c>
      <c r="AW162" s="11">
        <v>0.5</v>
      </c>
      <c r="AX162" s="11">
        <v>-0.3</v>
      </c>
      <c r="AY162" s="11">
        <v>0.1</v>
      </c>
      <c r="AZ162" s="11">
        <v>2.1</v>
      </c>
      <c r="BA162" s="11">
        <v>-0.08</v>
      </c>
    </row>
    <row r="163" spans="34:53" x14ac:dyDescent="0.25">
      <c r="AH163" s="11">
        <v>1.3</v>
      </c>
      <c r="AI163" s="11">
        <v>1.8</v>
      </c>
      <c r="AJ163" s="11">
        <v>5.0999999999999996</v>
      </c>
      <c r="AK163" s="11">
        <v>2.5</v>
      </c>
      <c r="AL163" s="11">
        <v>2.9</v>
      </c>
      <c r="AM163" s="11">
        <v>1.6</v>
      </c>
      <c r="AN163" s="11">
        <v>7.5</v>
      </c>
      <c r="AO163" s="11">
        <v>2.4</v>
      </c>
      <c r="AP163" s="11">
        <v>1.5</v>
      </c>
      <c r="AQ163" s="11">
        <v>0.5</v>
      </c>
      <c r="AR163" s="11">
        <v>3.2</v>
      </c>
      <c r="AS163" s="11">
        <v>1.1000000000000001</v>
      </c>
      <c r="AT163" s="11">
        <v>1.2</v>
      </c>
      <c r="AU163" s="11">
        <v>0.6</v>
      </c>
      <c r="AV163" s="11">
        <v>0.186</v>
      </c>
      <c r="AW163" s="11">
        <v>0.3</v>
      </c>
      <c r="AX163" s="11">
        <v>0.4</v>
      </c>
      <c r="AY163" s="11">
        <v>-0.2</v>
      </c>
      <c r="AZ163" s="11">
        <v>1.1000000000000001</v>
      </c>
      <c r="BA163" s="11">
        <v>-0.37</v>
      </c>
    </row>
    <row r="164" spans="34:53" x14ac:dyDescent="0.25">
      <c r="AH164" s="11">
        <v>1.3</v>
      </c>
      <c r="AI164" s="11">
        <v>1.8</v>
      </c>
      <c r="AJ164" s="11">
        <v>5.0999999999999996</v>
      </c>
      <c r="AK164" s="11">
        <v>2.5</v>
      </c>
      <c r="AL164" s="11">
        <v>2.9</v>
      </c>
      <c r="AM164" s="11">
        <v>3.4</v>
      </c>
      <c r="AN164" s="11">
        <v>7.5</v>
      </c>
      <c r="AO164" s="11">
        <v>1.8</v>
      </c>
      <c r="AP164" s="11">
        <v>1.5</v>
      </c>
      <c r="AQ164" s="11">
        <v>0.7</v>
      </c>
      <c r="AR164" s="11">
        <v>3.2</v>
      </c>
      <c r="AS164" s="11">
        <v>1.4</v>
      </c>
      <c r="AT164" s="11">
        <v>1.2</v>
      </c>
      <c r="AU164" s="11">
        <v>0.7</v>
      </c>
      <c r="AV164" s="11">
        <v>0.186</v>
      </c>
      <c r="AW164" s="11">
        <v>0.5</v>
      </c>
      <c r="AX164" s="11">
        <v>0.4</v>
      </c>
      <c r="AY164" s="11">
        <v>0.3</v>
      </c>
      <c r="AZ164" s="11">
        <v>1.1000000000000001</v>
      </c>
      <c r="BA164" s="11">
        <v>-0.14000000000000001</v>
      </c>
    </row>
    <row r="165" spans="34:53" x14ac:dyDescent="0.25">
      <c r="AH165" s="11">
        <v>1.3</v>
      </c>
      <c r="AI165" s="11">
        <v>1.8</v>
      </c>
      <c r="AJ165" s="11">
        <v>5.0999999999999996</v>
      </c>
      <c r="AK165" s="11">
        <v>2.4</v>
      </c>
      <c r="AL165" s="11">
        <v>2.9</v>
      </c>
      <c r="AM165" s="11">
        <v>3.7</v>
      </c>
      <c r="AN165" s="11">
        <v>7.5</v>
      </c>
      <c r="AO165" s="11">
        <v>2.5</v>
      </c>
      <c r="AP165" s="11">
        <v>1.5</v>
      </c>
      <c r="AQ165" s="11">
        <v>0.5</v>
      </c>
      <c r="AR165" s="11">
        <v>3.2</v>
      </c>
      <c r="AS165" s="11">
        <v>0.8</v>
      </c>
      <c r="AT165" s="11">
        <v>1.2</v>
      </c>
      <c r="AU165" s="11">
        <v>0.7</v>
      </c>
      <c r="AV165" s="11">
        <v>0.186</v>
      </c>
      <c r="AW165" s="11">
        <v>0.4</v>
      </c>
      <c r="AX165" s="11">
        <v>0.4</v>
      </c>
      <c r="AY165" s="11">
        <v>0.2</v>
      </c>
      <c r="AZ165" s="11">
        <v>1.1000000000000001</v>
      </c>
      <c r="BA165" s="11">
        <v>-0.44</v>
      </c>
    </row>
    <row r="166" spans="34:53" x14ac:dyDescent="0.25">
      <c r="AH166" s="11">
        <v>2.5</v>
      </c>
      <c r="AI166" s="11">
        <v>2.1</v>
      </c>
      <c r="AJ166" s="11">
        <v>5.0999999999999996</v>
      </c>
      <c r="AK166" s="11">
        <v>2.6</v>
      </c>
      <c r="AL166" s="11">
        <v>-0.1</v>
      </c>
      <c r="AM166" s="11">
        <v>3.6</v>
      </c>
      <c r="AN166" s="11">
        <v>7.6</v>
      </c>
      <c r="AO166" s="11">
        <v>2.2999999999999998</v>
      </c>
      <c r="AP166" s="11">
        <v>1.2</v>
      </c>
      <c r="AQ166" s="11">
        <v>0.5</v>
      </c>
      <c r="AR166" s="11">
        <v>1.4</v>
      </c>
      <c r="AS166" s="11">
        <v>1</v>
      </c>
      <c r="AT166" s="11">
        <v>0.7</v>
      </c>
      <c r="AU166" s="11">
        <v>0.5</v>
      </c>
      <c r="AV166" s="11">
        <v>0.13500000000000001</v>
      </c>
      <c r="AW166" s="11">
        <v>0.3</v>
      </c>
      <c r="AX166" s="11">
        <v>0.9</v>
      </c>
      <c r="AY166" s="11">
        <v>0</v>
      </c>
      <c r="AZ166" s="11">
        <v>0.6</v>
      </c>
      <c r="BA166" s="11">
        <v>-0.42</v>
      </c>
    </row>
    <row r="167" spans="34:53" x14ac:dyDescent="0.25">
      <c r="AH167" s="11">
        <v>2.5</v>
      </c>
      <c r="AI167" s="11">
        <v>2.1</v>
      </c>
      <c r="AJ167" s="11">
        <v>5.0999999999999996</v>
      </c>
      <c r="AK167" s="11">
        <v>2.5</v>
      </c>
      <c r="AL167" s="11">
        <v>-0.1</v>
      </c>
      <c r="AM167" s="11">
        <v>3.4</v>
      </c>
      <c r="AN167" s="11">
        <v>7.6</v>
      </c>
      <c r="AO167" s="11">
        <v>2.2999999999999998</v>
      </c>
      <c r="AP167" s="11">
        <v>1.2</v>
      </c>
      <c r="AQ167" s="11">
        <v>0.4</v>
      </c>
      <c r="AR167" s="11">
        <v>1.4</v>
      </c>
      <c r="AS167" s="11">
        <v>0.8</v>
      </c>
      <c r="AT167" s="11">
        <v>0.7</v>
      </c>
      <c r="AU167" s="11">
        <v>0.5</v>
      </c>
      <c r="AV167" s="11">
        <v>0.13500000000000001</v>
      </c>
      <c r="AW167" s="11">
        <v>0.1</v>
      </c>
      <c r="AX167" s="11">
        <v>0.9</v>
      </c>
      <c r="AY167" s="11">
        <v>-0.4</v>
      </c>
      <c r="AZ167" s="11">
        <v>0.6</v>
      </c>
      <c r="BA167" s="11">
        <v>-0.87</v>
      </c>
    </row>
    <row r="168" spans="34:53" x14ac:dyDescent="0.25">
      <c r="AH168" s="11">
        <v>2.5</v>
      </c>
      <c r="AI168" s="11">
        <v>2.1</v>
      </c>
      <c r="AJ168" s="11">
        <v>5.0999999999999996</v>
      </c>
      <c r="AK168" s="11">
        <v>2.4</v>
      </c>
      <c r="AL168" s="11">
        <v>-0.1</v>
      </c>
      <c r="AM168" s="11">
        <v>3.3</v>
      </c>
      <c r="AN168" s="11">
        <v>7.6</v>
      </c>
      <c r="AO168" s="11">
        <v>2</v>
      </c>
      <c r="AP168" s="11">
        <v>1.2</v>
      </c>
      <c r="AQ168" s="11">
        <v>0.4</v>
      </c>
      <c r="AR168" s="11">
        <v>1.4</v>
      </c>
      <c r="AS168" s="11">
        <v>0.9</v>
      </c>
      <c r="AT168" s="11">
        <v>0.7</v>
      </c>
      <c r="AU168" s="11">
        <v>0.4</v>
      </c>
      <c r="AV168" s="11">
        <v>0.13500000000000001</v>
      </c>
      <c r="AW168" s="11">
        <v>-0.1</v>
      </c>
      <c r="AX168" s="11">
        <v>0.9</v>
      </c>
      <c r="AY168" s="11">
        <v>-0.5</v>
      </c>
      <c r="AZ168" s="11">
        <v>0.6</v>
      </c>
      <c r="BA168" s="11">
        <v>-0.36</v>
      </c>
    </row>
    <row r="169" spans="34:53" x14ac:dyDescent="0.25">
      <c r="AH169" s="11">
        <v>2.8</v>
      </c>
      <c r="AI169" s="11">
        <v>2</v>
      </c>
      <c r="AJ169" s="11">
        <v>4.5999999999999996</v>
      </c>
      <c r="AK169" s="11">
        <v>2.2999999999999998</v>
      </c>
      <c r="AL169" s="11">
        <v>-1.1000000000000001</v>
      </c>
      <c r="AM169" s="11">
        <v>3.2</v>
      </c>
      <c r="AN169" s="11">
        <v>7.2</v>
      </c>
      <c r="AO169" s="11">
        <v>1.6</v>
      </c>
      <c r="AP169" s="11">
        <v>1.4</v>
      </c>
      <c r="AQ169" s="11">
        <v>0.3</v>
      </c>
      <c r="AR169" s="11">
        <v>1.8</v>
      </c>
      <c r="AS169" s="11">
        <v>0.9</v>
      </c>
      <c r="AT169" s="11">
        <v>1.2</v>
      </c>
      <c r="AU169" s="11">
        <v>0.3</v>
      </c>
      <c r="AV169" s="11">
        <v>7.0000000000000001E-3</v>
      </c>
      <c r="AW169" s="11">
        <v>-0.1</v>
      </c>
      <c r="AX169" s="11">
        <v>1.7</v>
      </c>
      <c r="AY169" s="11">
        <v>-0.3</v>
      </c>
      <c r="AZ169" s="11">
        <v>0.9</v>
      </c>
      <c r="BA169" s="11">
        <v>-0.37</v>
      </c>
    </row>
    <row r="170" spans="34:53" x14ac:dyDescent="0.25">
      <c r="AH170" s="11">
        <v>2.8</v>
      </c>
      <c r="AI170" s="11">
        <v>2</v>
      </c>
      <c r="AJ170" s="11">
        <v>4.5999999999999996</v>
      </c>
      <c r="AK170" s="11">
        <v>2.2999999999999998</v>
      </c>
      <c r="AL170" s="11">
        <v>-1.1000000000000001</v>
      </c>
      <c r="AM170" s="11">
        <v>2.9</v>
      </c>
      <c r="AN170" s="11">
        <v>7.2</v>
      </c>
      <c r="AO170" s="11">
        <v>1.6</v>
      </c>
      <c r="AP170" s="11">
        <v>1.4</v>
      </c>
      <c r="AQ170" s="11">
        <v>0.4</v>
      </c>
      <c r="AR170" s="11">
        <v>1.8</v>
      </c>
      <c r="AS170" s="11">
        <v>0.8</v>
      </c>
      <c r="AT170" s="11">
        <v>1.2</v>
      </c>
      <c r="AU170" s="11">
        <v>0.5</v>
      </c>
      <c r="AV170" s="11">
        <v>7.0000000000000001E-3</v>
      </c>
      <c r="AW170" s="11">
        <v>0.1</v>
      </c>
      <c r="AX170" s="11">
        <v>1.7</v>
      </c>
      <c r="AY170" s="11">
        <v>-0.2</v>
      </c>
      <c r="AZ170" s="11">
        <v>0.9</v>
      </c>
      <c r="BA170" s="11">
        <v>0</v>
      </c>
    </row>
    <row r="171" spans="34:53" x14ac:dyDescent="0.25">
      <c r="AH171" s="11">
        <v>2.8</v>
      </c>
      <c r="AI171" s="11">
        <v>2</v>
      </c>
      <c r="AJ171" s="11">
        <v>4.5999999999999996</v>
      </c>
      <c r="AK171" s="11">
        <v>2</v>
      </c>
      <c r="AL171" s="11">
        <v>-1.1000000000000001</v>
      </c>
      <c r="AM171" s="11">
        <v>2.4</v>
      </c>
      <c r="AN171" s="11">
        <v>7.2</v>
      </c>
      <c r="AO171" s="11">
        <v>1.4</v>
      </c>
      <c r="AP171" s="11">
        <v>1.4</v>
      </c>
      <c r="AQ171" s="11">
        <v>0.3</v>
      </c>
      <c r="AR171" s="11">
        <v>1.8</v>
      </c>
      <c r="AS171" s="11">
        <v>0.6</v>
      </c>
      <c r="AT171" s="11">
        <v>1.2</v>
      </c>
      <c r="AU171" s="11">
        <v>0.3</v>
      </c>
      <c r="AV171" s="11">
        <v>7.0000000000000001E-3</v>
      </c>
      <c r="AW171" s="11">
        <v>0.2</v>
      </c>
      <c r="AX171" s="11">
        <v>1.7</v>
      </c>
      <c r="AY171" s="11">
        <v>-0.5</v>
      </c>
      <c r="AZ171" s="11">
        <v>0.9</v>
      </c>
      <c r="BA171" s="11">
        <v>0.02</v>
      </c>
    </row>
    <row r="172" spans="34:53" x14ac:dyDescent="0.25">
      <c r="AH172" s="11">
        <v>2.6</v>
      </c>
      <c r="AI172" s="11">
        <v>1.6</v>
      </c>
      <c r="AJ172" s="11">
        <v>3.5</v>
      </c>
      <c r="AK172" s="11">
        <v>1.6</v>
      </c>
      <c r="AL172" s="11">
        <v>-0.5</v>
      </c>
      <c r="AM172" s="11">
        <v>2.4</v>
      </c>
      <c r="AN172" s="11">
        <v>7.3</v>
      </c>
      <c r="AO172" s="11">
        <v>1.5</v>
      </c>
      <c r="AP172" s="11">
        <v>1.5</v>
      </c>
      <c r="AQ172" s="11">
        <v>-0.2</v>
      </c>
      <c r="AR172" s="11">
        <v>2.4</v>
      </c>
      <c r="AS172" s="11">
        <v>0.2</v>
      </c>
      <c r="AT172" s="11">
        <v>0.8</v>
      </c>
      <c r="AU172" s="11">
        <v>0.1</v>
      </c>
      <c r="AV172" s="11">
        <v>-0.04</v>
      </c>
      <c r="AW172" s="11">
        <v>-0.1</v>
      </c>
      <c r="AX172" s="11">
        <v>2.5</v>
      </c>
      <c r="AY172" s="11">
        <v>-1.1000000000000001</v>
      </c>
      <c r="AZ172" s="11">
        <v>0.6</v>
      </c>
      <c r="BA172" s="11">
        <v>-0.36</v>
      </c>
    </row>
    <row r="173" spans="34:53" x14ac:dyDescent="0.25">
      <c r="AH173" s="11">
        <v>2.6</v>
      </c>
      <c r="AI173" s="11">
        <v>1.6</v>
      </c>
      <c r="AJ173" s="11">
        <v>3.5</v>
      </c>
      <c r="AK173" s="11">
        <v>1.1000000000000001</v>
      </c>
      <c r="AL173" s="11">
        <v>-0.5</v>
      </c>
      <c r="AM173" s="11">
        <v>2.4</v>
      </c>
      <c r="AN173" s="11">
        <v>7.3</v>
      </c>
      <c r="AO173" s="11">
        <v>0.8</v>
      </c>
      <c r="AP173" s="11">
        <v>1.5</v>
      </c>
      <c r="AQ173" s="11">
        <v>-0.6</v>
      </c>
      <c r="AR173" s="11">
        <v>2.4</v>
      </c>
      <c r="AS173" s="11">
        <v>-0.3</v>
      </c>
      <c r="AT173" s="11">
        <v>0.8</v>
      </c>
      <c r="AU173" s="11">
        <v>-0.4</v>
      </c>
      <c r="AV173" s="11">
        <v>-0.04</v>
      </c>
      <c r="AW173" s="11">
        <v>-0.7</v>
      </c>
      <c r="AX173" s="11">
        <v>2.5</v>
      </c>
      <c r="AY173" s="11">
        <v>-1.5</v>
      </c>
      <c r="AZ173" s="11">
        <v>0.6</v>
      </c>
      <c r="BA173" s="11">
        <v>-0.39</v>
      </c>
    </row>
    <row r="174" spans="34:53" x14ac:dyDescent="0.25">
      <c r="AH174" s="11">
        <v>2.6</v>
      </c>
      <c r="AI174" s="11">
        <v>1.6</v>
      </c>
      <c r="AJ174" s="11">
        <v>3.5</v>
      </c>
      <c r="AK174" s="11">
        <v>1</v>
      </c>
      <c r="AL174" s="11">
        <v>-0.5</v>
      </c>
      <c r="AM174" s="11">
        <v>2.2000000000000002</v>
      </c>
      <c r="AN174" s="11">
        <v>7.3</v>
      </c>
      <c r="AO174" s="11">
        <v>1.4</v>
      </c>
      <c r="AP174" s="11">
        <v>1.5</v>
      </c>
      <c r="AQ174" s="11">
        <v>-0.3</v>
      </c>
      <c r="AR174" s="11">
        <v>2.4</v>
      </c>
      <c r="AS174" s="11">
        <v>0</v>
      </c>
      <c r="AT174" s="11">
        <v>0.8</v>
      </c>
      <c r="AU174" s="11">
        <v>-0.3</v>
      </c>
      <c r="AV174" s="11">
        <v>-0.04</v>
      </c>
      <c r="AW174" s="11">
        <v>-0.4</v>
      </c>
      <c r="AX174" s="11">
        <v>2.5</v>
      </c>
      <c r="AY174" s="11">
        <v>-1.2</v>
      </c>
      <c r="AZ174" s="11">
        <v>0.6</v>
      </c>
      <c r="BA174" s="11">
        <v>-0.21</v>
      </c>
    </row>
    <row r="175" spans="34:53" x14ac:dyDescent="0.25">
      <c r="AH175" s="11">
        <v>3.8</v>
      </c>
      <c r="AI175" s="11">
        <v>1.1000000000000001</v>
      </c>
      <c r="AJ175" s="11">
        <v>3.5</v>
      </c>
      <c r="AK175" s="11">
        <v>0.9</v>
      </c>
      <c r="AL175" s="11">
        <v>0.3</v>
      </c>
      <c r="AM175" s="11">
        <v>2.2999999999999998</v>
      </c>
      <c r="AN175" s="11">
        <v>7.1</v>
      </c>
      <c r="AO175" s="11">
        <v>1.4</v>
      </c>
      <c r="AP175" s="11">
        <v>1.8</v>
      </c>
      <c r="AQ175" s="11">
        <v>-0.1</v>
      </c>
      <c r="AR175" s="11">
        <v>1</v>
      </c>
      <c r="AS175" s="11">
        <v>0.2</v>
      </c>
      <c r="AT175" s="11">
        <v>1.2</v>
      </c>
      <c r="AU175" s="11">
        <v>-0.1</v>
      </c>
      <c r="AV175" s="11">
        <v>6.6000000000000003E-2</v>
      </c>
      <c r="AW175" s="11">
        <v>-0.2</v>
      </c>
      <c r="AX175" s="11">
        <v>3.2</v>
      </c>
      <c r="AY175" s="11">
        <v>-0.8</v>
      </c>
      <c r="AZ175" s="11">
        <v>1.9</v>
      </c>
      <c r="BA175" s="11">
        <v>0.31</v>
      </c>
    </row>
    <row r="176" spans="34:53" x14ac:dyDescent="0.25">
      <c r="AH176" s="11">
        <v>3.8</v>
      </c>
      <c r="AI176" s="11">
        <v>1.1000000000000001</v>
      </c>
      <c r="AJ176" s="11">
        <v>3.5</v>
      </c>
      <c r="AK176" s="11">
        <v>0.9</v>
      </c>
      <c r="AL176" s="11">
        <v>0.3</v>
      </c>
      <c r="AM176" s="11">
        <v>0.6</v>
      </c>
      <c r="AN176" s="11">
        <v>7.1</v>
      </c>
      <c r="AO176" s="11">
        <v>1.5</v>
      </c>
      <c r="AP176" s="11">
        <v>1.8</v>
      </c>
      <c r="AQ176" s="11">
        <v>0.2</v>
      </c>
      <c r="AR176" s="11">
        <v>1</v>
      </c>
      <c r="AS176" s="11">
        <v>0.8</v>
      </c>
      <c r="AT176" s="11">
        <v>1.2</v>
      </c>
      <c r="AU176" s="11">
        <v>0.1</v>
      </c>
      <c r="AV176" s="11">
        <v>6.6000000000000003E-2</v>
      </c>
      <c r="AW176" s="11">
        <v>-0.3</v>
      </c>
      <c r="AX176" s="11">
        <v>3.2</v>
      </c>
      <c r="AY176" s="11">
        <v>-0.7</v>
      </c>
      <c r="AZ176" s="11">
        <v>1.9</v>
      </c>
      <c r="BA176" s="11">
        <v>0.4</v>
      </c>
    </row>
    <row r="177" spans="34:53" x14ac:dyDescent="0.25">
      <c r="AH177" s="11">
        <v>3.8</v>
      </c>
      <c r="AI177" s="11">
        <v>1.1000000000000001</v>
      </c>
      <c r="AJ177" s="11">
        <v>3.5</v>
      </c>
      <c r="AK177" s="11">
        <v>1</v>
      </c>
      <c r="AL177" s="11">
        <v>0.3</v>
      </c>
      <c r="AM177" s="11">
        <v>0.5</v>
      </c>
      <c r="AN177" s="11">
        <v>7.1</v>
      </c>
      <c r="AO177" s="11">
        <v>1.2</v>
      </c>
      <c r="AP177" s="11">
        <v>1.8</v>
      </c>
      <c r="AQ177" s="11">
        <v>0.6</v>
      </c>
      <c r="AR177" s="11">
        <v>1</v>
      </c>
      <c r="AS177" s="11">
        <v>1.2</v>
      </c>
      <c r="AT177" s="11">
        <v>1.2</v>
      </c>
      <c r="AU177" s="11">
        <v>0.3</v>
      </c>
      <c r="AV177" s="11">
        <v>6.6000000000000003E-2</v>
      </c>
      <c r="AW177" s="11">
        <v>-0.1</v>
      </c>
      <c r="AX177" s="11">
        <v>3.2</v>
      </c>
      <c r="AY177" s="11">
        <v>-0.3</v>
      </c>
      <c r="AZ177" s="11">
        <v>1.9</v>
      </c>
      <c r="BA177" s="11">
        <v>0.95</v>
      </c>
    </row>
    <row r="178" spans="34:53" x14ac:dyDescent="0.25">
      <c r="AH178" s="11">
        <v>3</v>
      </c>
      <c r="AI178" s="11">
        <v>1.1000000000000001</v>
      </c>
      <c r="AJ178" s="11">
        <v>4</v>
      </c>
      <c r="AK178" s="11">
        <v>1</v>
      </c>
      <c r="AL178" s="11">
        <v>2.4</v>
      </c>
      <c r="AM178" s="11">
        <v>0.4</v>
      </c>
      <c r="AN178" s="11">
        <v>7.1</v>
      </c>
      <c r="AO178" s="11">
        <v>1.4</v>
      </c>
      <c r="AP178" s="11">
        <v>2</v>
      </c>
      <c r="AQ178" s="11">
        <v>0.5</v>
      </c>
      <c r="AR178" s="11">
        <v>1.5</v>
      </c>
      <c r="AS178" s="11">
        <v>0.9</v>
      </c>
      <c r="AT178" s="11">
        <v>1.1000000000000001</v>
      </c>
      <c r="AU178" s="11">
        <v>0.3</v>
      </c>
      <c r="AV178" s="11">
        <v>0.495</v>
      </c>
      <c r="AW178" s="11">
        <v>-0.1</v>
      </c>
      <c r="AX178" s="11">
        <v>3.9</v>
      </c>
      <c r="AY178" s="11">
        <v>0</v>
      </c>
      <c r="AZ178" s="11">
        <v>1.9</v>
      </c>
      <c r="BA178" s="11">
        <v>0.8</v>
      </c>
    </row>
    <row r="179" spans="34:53" x14ac:dyDescent="0.25">
      <c r="AH179" s="11">
        <v>3</v>
      </c>
      <c r="AI179" s="11">
        <v>1.1000000000000001</v>
      </c>
      <c r="AJ179" s="11">
        <v>4</v>
      </c>
      <c r="AK179" s="11">
        <v>1</v>
      </c>
      <c r="AL179" s="11">
        <v>2.4</v>
      </c>
      <c r="AM179" s="11">
        <v>0.2</v>
      </c>
      <c r="AN179" s="11">
        <v>7.1</v>
      </c>
      <c r="AO179" s="11">
        <v>1.6</v>
      </c>
      <c r="AP179" s="11">
        <v>2</v>
      </c>
      <c r="AQ179" s="11">
        <v>0.5</v>
      </c>
      <c r="AR179" s="11">
        <v>1.5</v>
      </c>
      <c r="AS179" s="11">
        <v>0.9</v>
      </c>
      <c r="AT179" s="11">
        <v>1.1000000000000001</v>
      </c>
      <c r="AU179" s="11">
        <v>0.2</v>
      </c>
      <c r="AV179" s="11">
        <v>0.495</v>
      </c>
      <c r="AW179" s="11">
        <v>-0.1</v>
      </c>
      <c r="AX179" s="11">
        <v>3.9</v>
      </c>
      <c r="AY179" s="11">
        <v>0</v>
      </c>
      <c r="AZ179" s="11">
        <v>1.9</v>
      </c>
      <c r="BA179" s="11">
        <v>0.77</v>
      </c>
    </row>
    <row r="180" spans="34:53" x14ac:dyDescent="0.25">
      <c r="AH180" s="11">
        <v>3</v>
      </c>
      <c r="AI180" s="11">
        <v>1.1000000000000001</v>
      </c>
      <c r="AJ180" s="11">
        <v>4</v>
      </c>
      <c r="AK180" s="11">
        <v>1.1000000000000001</v>
      </c>
      <c r="AL180" s="11">
        <v>2.4</v>
      </c>
      <c r="AM180" s="11">
        <v>0.2</v>
      </c>
      <c r="AN180" s="11">
        <v>7.1</v>
      </c>
      <c r="AO180" s="11">
        <v>2</v>
      </c>
      <c r="AP180" s="11">
        <v>2</v>
      </c>
      <c r="AQ180" s="11">
        <v>0.4</v>
      </c>
      <c r="AR180" s="11">
        <v>1.5</v>
      </c>
      <c r="AS180" s="11">
        <v>0.8</v>
      </c>
      <c r="AT180" s="11">
        <v>1.1000000000000001</v>
      </c>
      <c r="AU180" s="11">
        <v>0</v>
      </c>
      <c r="AV180" s="11">
        <v>0.495</v>
      </c>
      <c r="AW180" s="11">
        <v>-0.1</v>
      </c>
      <c r="AX180" s="11">
        <v>3.9</v>
      </c>
      <c r="AY180" s="11">
        <v>-0.5</v>
      </c>
      <c r="AZ180" s="11">
        <v>1.9</v>
      </c>
      <c r="BA180" s="11">
        <v>0.66</v>
      </c>
    </row>
    <row r="181" spans="34:53" x14ac:dyDescent="0.25">
      <c r="AH181" s="11">
        <v>2.2000000000000002</v>
      </c>
      <c r="AI181" s="11">
        <v>1</v>
      </c>
      <c r="AJ181" s="11">
        <v>2.4</v>
      </c>
      <c r="AK181" s="11">
        <v>0.8</v>
      </c>
      <c r="AL181" s="11">
        <v>2.2000000000000002</v>
      </c>
      <c r="AM181" s="11">
        <v>0</v>
      </c>
      <c r="AN181" s="11">
        <v>7</v>
      </c>
      <c r="AO181" s="11">
        <v>1.6</v>
      </c>
      <c r="AP181" s="11">
        <v>2</v>
      </c>
      <c r="AQ181" s="11">
        <v>0.2</v>
      </c>
      <c r="AR181" s="11">
        <v>1.5</v>
      </c>
      <c r="AS181" s="11">
        <v>0.6</v>
      </c>
      <c r="AT181" s="11">
        <v>0.9</v>
      </c>
      <c r="AU181" s="11">
        <v>0</v>
      </c>
      <c r="AV181" s="11">
        <v>0.63300000000000001</v>
      </c>
      <c r="AW181" s="11">
        <v>-0.1</v>
      </c>
      <c r="AX181" s="11">
        <v>4</v>
      </c>
      <c r="AY181" s="11">
        <v>-1.1000000000000001</v>
      </c>
      <c r="AZ181" s="11">
        <v>1.9</v>
      </c>
      <c r="BA181" s="11">
        <v>0.88</v>
      </c>
    </row>
    <row r="182" spans="34:53" x14ac:dyDescent="0.25">
      <c r="AH182" s="11">
        <v>2.2000000000000002</v>
      </c>
      <c r="AI182" s="11">
        <v>1</v>
      </c>
      <c r="AJ182" s="11">
        <v>2.4</v>
      </c>
      <c r="AK182" s="11">
        <v>0.7</v>
      </c>
      <c r="AL182" s="11">
        <v>2.2000000000000002</v>
      </c>
      <c r="AM182" s="11">
        <v>0.3</v>
      </c>
      <c r="AN182" s="11">
        <v>7</v>
      </c>
      <c r="AO182" s="11">
        <v>1.3</v>
      </c>
      <c r="AP182" s="11">
        <v>2</v>
      </c>
      <c r="AQ182" s="11">
        <v>0.4</v>
      </c>
      <c r="AR182" s="11">
        <v>1.5</v>
      </c>
      <c r="AS182" s="11">
        <v>0.9</v>
      </c>
      <c r="AT182" s="11">
        <v>0.9</v>
      </c>
      <c r="AU182" s="11">
        <v>0.1</v>
      </c>
      <c r="AV182" s="11">
        <v>0.63300000000000001</v>
      </c>
      <c r="AW182" s="11">
        <v>0</v>
      </c>
      <c r="AX182" s="11">
        <v>4</v>
      </c>
      <c r="AY182" s="11">
        <v>-0.9</v>
      </c>
      <c r="AZ182" s="11">
        <v>1.9</v>
      </c>
      <c r="BA182" s="11">
        <v>0.63</v>
      </c>
    </row>
    <row r="183" spans="34:53" x14ac:dyDescent="0.25">
      <c r="AH183" s="11">
        <v>2.2000000000000002</v>
      </c>
      <c r="AI183" s="11">
        <v>1</v>
      </c>
      <c r="AJ183" s="11">
        <v>2.4</v>
      </c>
      <c r="AK183" s="11">
        <v>1.1000000000000001</v>
      </c>
      <c r="AL183" s="11">
        <v>2.2000000000000002</v>
      </c>
      <c r="AM183" s="11">
        <v>0.3</v>
      </c>
      <c r="AN183" s="11">
        <v>7</v>
      </c>
      <c r="AO183" s="11">
        <v>1.5</v>
      </c>
      <c r="AP183" s="11">
        <v>2</v>
      </c>
      <c r="AQ183" s="11">
        <v>0.1</v>
      </c>
      <c r="AR183" s="11">
        <v>1.5</v>
      </c>
      <c r="AS183" s="11">
        <v>0.2</v>
      </c>
      <c r="AT183" s="11">
        <v>0.9</v>
      </c>
      <c r="AU183" s="11">
        <v>0</v>
      </c>
      <c r="AV183" s="11">
        <v>0.63300000000000001</v>
      </c>
      <c r="AW183" s="11">
        <v>0</v>
      </c>
      <c r="AX183" s="11">
        <v>4</v>
      </c>
      <c r="AY183" s="11">
        <v>-0.4</v>
      </c>
      <c r="AZ183" s="11">
        <v>1.9</v>
      </c>
      <c r="BA183" s="11">
        <v>0.64</v>
      </c>
    </row>
    <row r="184" spans="34:53" x14ac:dyDescent="0.25">
      <c r="AH184" s="11">
        <v>1.9</v>
      </c>
      <c r="AI184" s="11">
        <v>0.8</v>
      </c>
      <c r="AJ184" s="11">
        <v>2.8</v>
      </c>
      <c r="AK184" s="11">
        <v>1.2</v>
      </c>
      <c r="AL184" s="11">
        <v>1.5</v>
      </c>
      <c r="AM184" s="11">
        <v>0.2</v>
      </c>
      <c r="AN184" s="11">
        <v>6.9</v>
      </c>
      <c r="AO184" s="11">
        <v>1.6</v>
      </c>
      <c r="AP184" s="11">
        <v>2</v>
      </c>
      <c r="AQ184" s="11">
        <v>0.3</v>
      </c>
      <c r="AR184" s="11">
        <v>1.9</v>
      </c>
      <c r="AS184" s="11">
        <v>0.2</v>
      </c>
      <c r="AT184" s="11">
        <v>1</v>
      </c>
      <c r="AU184" s="11">
        <v>0.2</v>
      </c>
      <c r="AV184" s="11">
        <v>1.4370000000000001</v>
      </c>
      <c r="AW184" s="11">
        <v>0</v>
      </c>
      <c r="AX184" s="11">
        <v>4.2</v>
      </c>
      <c r="AY184" s="11">
        <v>-0.1</v>
      </c>
      <c r="AZ184" s="11">
        <v>1.5</v>
      </c>
      <c r="BA184" s="11">
        <v>0.4</v>
      </c>
    </row>
    <row r="185" spans="34:53" x14ac:dyDescent="0.25">
      <c r="AH185" s="11">
        <v>1.9</v>
      </c>
      <c r="AI185" s="11">
        <v>0.8</v>
      </c>
      <c r="AJ185" s="11">
        <v>2.8</v>
      </c>
      <c r="AK185" s="11">
        <v>1.3</v>
      </c>
      <c r="AL185" s="11">
        <v>1.5</v>
      </c>
      <c r="AM185" s="11">
        <v>-0.1</v>
      </c>
      <c r="AN185" s="11">
        <v>6.9</v>
      </c>
      <c r="AO185" s="11">
        <v>1.8</v>
      </c>
      <c r="AP185" s="11">
        <v>2</v>
      </c>
      <c r="AQ185" s="11">
        <v>0.3</v>
      </c>
      <c r="AR185" s="11">
        <v>1.9</v>
      </c>
      <c r="AS185" s="11">
        <v>0.5</v>
      </c>
      <c r="AT185" s="11">
        <v>1</v>
      </c>
      <c r="AU185" s="11">
        <v>0.2</v>
      </c>
      <c r="AV185" s="11">
        <v>1.4370000000000001</v>
      </c>
      <c r="AW185" s="11">
        <v>0.3</v>
      </c>
      <c r="AX185" s="11">
        <v>4.2</v>
      </c>
      <c r="AY185" s="11">
        <v>-0.4</v>
      </c>
      <c r="AZ185" s="11">
        <v>1.5</v>
      </c>
      <c r="BA185" s="11">
        <v>0.78</v>
      </c>
    </row>
    <row r="186" spans="34:53" x14ac:dyDescent="0.25">
      <c r="AH186" s="11">
        <v>1.9</v>
      </c>
      <c r="AI186" s="11">
        <v>0.8</v>
      </c>
      <c r="AJ186" s="11">
        <v>2.8</v>
      </c>
      <c r="AK186" s="11">
        <v>1.3</v>
      </c>
      <c r="AL186" s="11">
        <v>1.5</v>
      </c>
      <c r="AM186" s="11">
        <v>0.2</v>
      </c>
      <c r="AN186" s="11">
        <v>6.9</v>
      </c>
      <c r="AO186" s="11">
        <v>2.2999999999999998</v>
      </c>
      <c r="AP186" s="11">
        <v>2</v>
      </c>
      <c r="AQ186" s="11">
        <v>-0.1</v>
      </c>
      <c r="AR186" s="11">
        <v>1.9</v>
      </c>
      <c r="AS186" s="11">
        <v>0.1</v>
      </c>
      <c r="AT186" s="11">
        <v>1</v>
      </c>
      <c r="AU186" s="11">
        <v>-0.2</v>
      </c>
      <c r="AV186" s="11">
        <v>1.4370000000000001</v>
      </c>
      <c r="AW186" s="11">
        <v>-0.2</v>
      </c>
      <c r="AX186" s="11">
        <v>4.2</v>
      </c>
      <c r="AY186" s="11">
        <v>-1</v>
      </c>
      <c r="AZ186" s="11">
        <v>1.5</v>
      </c>
      <c r="BA186" s="11">
        <v>0.4</v>
      </c>
    </row>
    <row r="187" spans="34:53" x14ac:dyDescent="0.25">
      <c r="AH187" s="11">
        <v>1.6</v>
      </c>
      <c r="AI187" s="11">
        <v>0.8</v>
      </c>
      <c r="AJ187" s="11">
        <v>3.1</v>
      </c>
      <c r="AK187" s="11">
        <v>1.6</v>
      </c>
      <c r="AL187" s="11">
        <v>1</v>
      </c>
      <c r="AM187" s="11">
        <v>0</v>
      </c>
      <c r="AN187" s="11">
        <v>6.9</v>
      </c>
      <c r="AO187" s="11">
        <v>2.2999999999999998</v>
      </c>
      <c r="AP187" s="11">
        <v>1.9</v>
      </c>
      <c r="AQ187" s="11">
        <v>0</v>
      </c>
      <c r="AR187" s="11">
        <v>2.2000000000000002</v>
      </c>
      <c r="AS187" s="11">
        <v>0.3</v>
      </c>
      <c r="AT187" s="11">
        <v>1.1000000000000001</v>
      </c>
      <c r="AU187" s="11">
        <v>-0.1</v>
      </c>
      <c r="AV187" s="11">
        <v>1.4450000000000001</v>
      </c>
      <c r="AW187" s="11">
        <v>-0.3</v>
      </c>
      <c r="AX187" s="11">
        <v>3.7</v>
      </c>
      <c r="AY187" s="11">
        <v>-1</v>
      </c>
      <c r="AZ187" s="11">
        <v>1.4</v>
      </c>
      <c r="BA187" s="11">
        <v>0.45</v>
      </c>
    </row>
    <row r="188" spans="34:53" x14ac:dyDescent="0.25">
      <c r="AH188" s="11">
        <v>1.6</v>
      </c>
      <c r="AI188" s="11">
        <v>0.8</v>
      </c>
      <c r="AJ188" s="11">
        <v>3.1</v>
      </c>
      <c r="AK188" s="11">
        <v>1.3</v>
      </c>
      <c r="AL188" s="11">
        <v>1</v>
      </c>
      <c r="AM188" s="11">
        <v>-0.3</v>
      </c>
      <c r="AN188" s="11">
        <v>6.9</v>
      </c>
      <c r="AO188" s="11">
        <v>2.2999999999999998</v>
      </c>
      <c r="AP188" s="11">
        <v>1.9</v>
      </c>
      <c r="AQ188" s="11">
        <v>-0.3</v>
      </c>
      <c r="AR188" s="11">
        <v>2.2000000000000002</v>
      </c>
      <c r="AS188" s="11">
        <v>-0.1</v>
      </c>
      <c r="AT188" s="11">
        <v>1.1000000000000001</v>
      </c>
      <c r="AU188" s="11">
        <v>-0.2</v>
      </c>
      <c r="AV188" s="11">
        <v>1.4450000000000001</v>
      </c>
      <c r="AW188" s="11">
        <v>-0.4</v>
      </c>
      <c r="AX188" s="11">
        <v>3.7</v>
      </c>
      <c r="AY188" s="11">
        <v>-1.2</v>
      </c>
      <c r="AZ188" s="11">
        <v>1.4</v>
      </c>
      <c r="BA188" s="11">
        <v>0.48</v>
      </c>
    </row>
    <row r="189" spans="34:53" x14ac:dyDescent="0.25">
      <c r="AH189" s="11">
        <v>1.6</v>
      </c>
      <c r="AI189" s="11">
        <v>0.8</v>
      </c>
      <c r="AJ189" s="11">
        <v>3.1</v>
      </c>
      <c r="AK189" s="11">
        <v>1.4</v>
      </c>
      <c r="AL189" s="11">
        <v>1</v>
      </c>
      <c r="AM189" s="11">
        <v>-0.5</v>
      </c>
      <c r="AN189" s="11">
        <v>6.9</v>
      </c>
      <c r="AO189" s="11">
        <v>2</v>
      </c>
      <c r="AP189" s="11">
        <v>1.9</v>
      </c>
      <c r="AQ189" s="11">
        <v>-0.1</v>
      </c>
      <c r="AR189" s="11">
        <v>2.2000000000000002</v>
      </c>
      <c r="AS189" s="11">
        <v>0.2</v>
      </c>
      <c r="AT189" s="11">
        <v>1.1000000000000001</v>
      </c>
      <c r="AU189" s="11">
        <v>0</v>
      </c>
      <c r="AV189" s="11">
        <v>1.4450000000000001</v>
      </c>
      <c r="AW189" s="11">
        <v>-0.4</v>
      </c>
      <c r="AX189" s="11">
        <v>3.7</v>
      </c>
      <c r="AY189" s="11">
        <v>-1.1000000000000001</v>
      </c>
      <c r="AZ189" s="11">
        <v>1.4</v>
      </c>
      <c r="BA189" s="11">
        <v>0.33</v>
      </c>
    </row>
    <row r="190" spans="34:53" x14ac:dyDescent="0.25">
      <c r="AH190" s="11">
        <v>1.4</v>
      </c>
      <c r="AI190" s="11">
        <v>0.9</v>
      </c>
      <c r="AJ190" s="11">
        <v>3.6</v>
      </c>
      <c r="AK190" s="11">
        <v>1.6</v>
      </c>
      <c r="AL190" s="11">
        <v>0.5</v>
      </c>
      <c r="AM190" s="11">
        <v>-0.4</v>
      </c>
      <c r="AN190" s="11">
        <v>6.8</v>
      </c>
      <c r="AO190" s="11">
        <v>1.9</v>
      </c>
      <c r="AP190" s="11">
        <v>1.7</v>
      </c>
      <c r="AQ190" s="11">
        <v>0</v>
      </c>
      <c r="AR190" s="11">
        <v>3.6</v>
      </c>
      <c r="AS190" s="11">
        <v>0.3</v>
      </c>
      <c r="AT190" s="11">
        <v>1</v>
      </c>
      <c r="AU190" s="11">
        <v>0.2</v>
      </c>
      <c r="AV190" s="11">
        <v>1.252</v>
      </c>
      <c r="AW190" s="11">
        <v>-0.3</v>
      </c>
      <c r="AX190" s="11">
        <v>3</v>
      </c>
      <c r="AY190" s="11">
        <v>-0.9</v>
      </c>
      <c r="AZ190" s="11">
        <v>1.4</v>
      </c>
      <c r="BA190" s="11">
        <v>0.55000000000000004</v>
      </c>
    </row>
    <row r="191" spans="34:53" x14ac:dyDescent="0.25">
      <c r="AH191" s="11">
        <v>1.4</v>
      </c>
      <c r="AI191" s="11">
        <v>0.9</v>
      </c>
      <c r="AJ191" s="11">
        <v>3.6</v>
      </c>
      <c r="AK191" s="11">
        <v>1.9</v>
      </c>
      <c r="AL191" s="11">
        <v>0.5</v>
      </c>
      <c r="AM191" s="11">
        <v>-0.4</v>
      </c>
      <c r="AN191" s="11">
        <v>6.8</v>
      </c>
      <c r="AO191" s="11">
        <v>1.8</v>
      </c>
      <c r="AP191" s="11">
        <v>1.7</v>
      </c>
      <c r="AQ191" s="11">
        <v>0.2</v>
      </c>
      <c r="AR191" s="11">
        <v>3.6</v>
      </c>
      <c r="AS191" s="11">
        <v>0.5</v>
      </c>
      <c r="AT191" s="11">
        <v>1</v>
      </c>
      <c r="AU191" s="11">
        <v>0.2</v>
      </c>
      <c r="AV191" s="11">
        <v>1.252</v>
      </c>
      <c r="AW191" s="11">
        <v>-0.1</v>
      </c>
      <c r="AX191" s="11">
        <v>3</v>
      </c>
      <c r="AY191" s="11">
        <v>-0.7</v>
      </c>
      <c r="AZ191" s="11">
        <v>1.4</v>
      </c>
      <c r="BA191" s="11">
        <v>0.61</v>
      </c>
    </row>
    <row r="192" spans="34:53" x14ac:dyDescent="0.25">
      <c r="AH192" s="11">
        <v>1.4</v>
      </c>
      <c r="AI192" s="11">
        <v>0.9</v>
      </c>
      <c r="AJ192" s="11">
        <v>3.6</v>
      </c>
      <c r="AK192" s="11">
        <v>1.8</v>
      </c>
      <c r="AL192" s="11">
        <v>0.5</v>
      </c>
      <c r="AM192" s="11">
        <v>-0.5</v>
      </c>
      <c r="AN192" s="11">
        <v>6.8</v>
      </c>
      <c r="AO192" s="11">
        <v>1.3</v>
      </c>
      <c r="AP192" s="11">
        <v>1.7</v>
      </c>
      <c r="AQ192" s="11">
        <v>0.2</v>
      </c>
      <c r="AR192" s="11">
        <v>3.6</v>
      </c>
      <c r="AS192" s="11">
        <v>0.4</v>
      </c>
      <c r="AT192" s="11">
        <v>1</v>
      </c>
      <c r="AU192" s="11">
        <v>0.2</v>
      </c>
      <c r="AV192" s="11">
        <v>1.252</v>
      </c>
      <c r="AW192" s="11">
        <v>-0.1</v>
      </c>
      <c r="AX192" s="11">
        <v>3</v>
      </c>
      <c r="AY192" s="11">
        <v>-0.3</v>
      </c>
      <c r="AZ192" s="11">
        <v>1.4</v>
      </c>
      <c r="BA192" s="11">
        <v>0.72</v>
      </c>
    </row>
    <row r="193" spans="34:53" x14ac:dyDescent="0.25">
      <c r="AH193" s="11">
        <v>1.6</v>
      </c>
      <c r="AI193" s="11">
        <v>0.9</v>
      </c>
      <c r="AJ193" s="11">
        <v>4.5</v>
      </c>
      <c r="AK193" s="11">
        <v>2</v>
      </c>
      <c r="AL193" s="11">
        <v>0.5</v>
      </c>
      <c r="AM193" s="11">
        <v>-0.5</v>
      </c>
      <c r="AN193" s="11">
        <v>6.8</v>
      </c>
      <c r="AO193" s="11">
        <v>1.9</v>
      </c>
      <c r="AP193" s="11">
        <v>1.7</v>
      </c>
      <c r="AQ193" s="11">
        <v>0.4</v>
      </c>
      <c r="AR193" s="11">
        <v>1.9</v>
      </c>
      <c r="AS193" s="11">
        <v>0.6</v>
      </c>
      <c r="AT193" s="11">
        <v>0.8</v>
      </c>
      <c r="AU193" s="11">
        <v>0.4</v>
      </c>
      <c r="AV193" s="11">
        <v>1.5820000000000001</v>
      </c>
      <c r="AW193" s="11">
        <v>0.1</v>
      </c>
      <c r="AX193" s="11">
        <v>3</v>
      </c>
      <c r="AY193" s="11">
        <v>0</v>
      </c>
      <c r="AZ193" s="11">
        <v>2.4</v>
      </c>
      <c r="BA193" s="11">
        <v>0.63</v>
      </c>
    </row>
    <row r="194" spans="34:53" x14ac:dyDescent="0.25">
      <c r="AH194" s="11">
        <v>1.6</v>
      </c>
      <c r="AI194" s="11">
        <v>0.9</v>
      </c>
      <c r="AJ194" s="11">
        <v>4.5</v>
      </c>
      <c r="AK194" s="11">
        <v>2</v>
      </c>
      <c r="AL194" s="11">
        <v>0.5</v>
      </c>
      <c r="AM194" s="11">
        <v>0.1</v>
      </c>
      <c r="AN194" s="11">
        <v>6.8</v>
      </c>
      <c r="AO194" s="11">
        <v>2.1</v>
      </c>
      <c r="AP194" s="11">
        <v>1.7</v>
      </c>
      <c r="AQ194" s="11">
        <v>0.5</v>
      </c>
      <c r="AR194" s="11">
        <v>1.9</v>
      </c>
      <c r="AS194" s="11">
        <v>0.8</v>
      </c>
      <c r="AT194" s="11">
        <v>0.8</v>
      </c>
      <c r="AU194" s="11">
        <v>0.4</v>
      </c>
      <c r="AV194" s="11">
        <v>1.5820000000000001</v>
      </c>
      <c r="AW194" s="11">
        <v>-0.1</v>
      </c>
      <c r="AX194" s="11">
        <v>3</v>
      </c>
      <c r="AY194" s="11">
        <v>0.5</v>
      </c>
      <c r="AZ194" s="11">
        <v>2.4</v>
      </c>
      <c r="BA194" s="11">
        <v>0.88</v>
      </c>
    </row>
    <row r="195" spans="34:53" x14ac:dyDescent="0.25">
      <c r="AH195" s="11">
        <v>1.6</v>
      </c>
      <c r="AI195" s="11">
        <v>0.9</v>
      </c>
      <c r="AJ195" s="11">
        <v>4.5</v>
      </c>
      <c r="AK195" s="11">
        <v>2.2000000000000002</v>
      </c>
      <c r="AL195" s="11">
        <v>0.5</v>
      </c>
      <c r="AM195" s="11">
        <v>0.5</v>
      </c>
      <c r="AN195" s="11">
        <v>6.8</v>
      </c>
      <c r="AO195" s="11">
        <v>2.2999999999999998</v>
      </c>
      <c r="AP195" s="11">
        <v>1.7</v>
      </c>
      <c r="AQ195" s="11">
        <v>0.6</v>
      </c>
      <c r="AR195" s="11">
        <v>1.9</v>
      </c>
      <c r="AS195" s="11">
        <v>0.8</v>
      </c>
      <c r="AT195" s="11">
        <v>0.8</v>
      </c>
      <c r="AU195" s="11">
        <v>0.5</v>
      </c>
      <c r="AV195" s="11">
        <v>1.5820000000000001</v>
      </c>
      <c r="AW195" s="11">
        <v>0.1</v>
      </c>
      <c r="AX195" s="11">
        <v>3</v>
      </c>
      <c r="AY195" s="11">
        <v>0.5</v>
      </c>
      <c r="AZ195" s="11">
        <v>2.4</v>
      </c>
      <c r="BA195" s="11">
        <v>0.57999999999999996</v>
      </c>
    </row>
    <row r="196" spans="34:53" x14ac:dyDescent="0.25">
      <c r="AH196" s="11">
        <v>2</v>
      </c>
      <c r="AI196" s="11">
        <v>1.4</v>
      </c>
      <c r="AJ196" s="11">
        <v>5.4</v>
      </c>
      <c r="AK196" s="11">
        <v>2.5</v>
      </c>
      <c r="AL196" s="11">
        <v>1</v>
      </c>
      <c r="AM196" s="11">
        <v>0.3</v>
      </c>
      <c r="AN196" s="11">
        <v>6.9</v>
      </c>
      <c r="AO196" s="11">
        <v>2.1</v>
      </c>
      <c r="AP196" s="11">
        <v>2</v>
      </c>
      <c r="AQ196" s="11">
        <v>1.1000000000000001</v>
      </c>
      <c r="AR196" s="11">
        <v>1.4</v>
      </c>
      <c r="AS196" s="11">
        <v>1.5</v>
      </c>
      <c r="AT196" s="11">
        <v>1.2</v>
      </c>
      <c r="AU196" s="11">
        <v>0.6</v>
      </c>
      <c r="AV196" s="11">
        <v>1.3380000000000001</v>
      </c>
      <c r="AW196" s="11">
        <v>0.4</v>
      </c>
      <c r="AX196" s="11">
        <v>2.5</v>
      </c>
      <c r="AY196" s="11">
        <v>1.4</v>
      </c>
      <c r="AZ196" s="11">
        <v>2.9</v>
      </c>
      <c r="BA196" s="11">
        <v>0.88</v>
      </c>
    </row>
    <row r="197" spans="34:53" x14ac:dyDescent="0.25">
      <c r="AH197" s="11">
        <v>2</v>
      </c>
      <c r="AI197" s="11">
        <v>1.4</v>
      </c>
      <c r="AJ197" s="11">
        <v>5.4</v>
      </c>
      <c r="AK197" s="11">
        <v>2.6</v>
      </c>
      <c r="AL197" s="11">
        <v>1</v>
      </c>
      <c r="AM197" s="11">
        <v>0.4</v>
      </c>
      <c r="AN197" s="11">
        <v>6.9</v>
      </c>
      <c r="AO197" s="11">
        <v>2.5</v>
      </c>
      <c r="AP197" s="11">
        <v>2</v>
      </c>
      <c r="AQ197" s="11">
        <v>1.7</v>
      </c>
      <c r="AR197" s="11">
        <v>1.4</v>
      </c>
      <c r="AS197" s="11">
        <v>1.6</v>
      </c>
      <c r="AT197" s="11">
        <v>1.2</v>
      </c>
      <c r="AU197" s="11">
        <v>1.3</v>
      </c>
      <c r="AV197" s="11">
        <v>1.3380000000000001</v>
      </c>
      <c r="AW197" s="11">
        <v>0.9</v>
      </c>
      <c r="AX197" s="11">
        <v>2.5</v>
      </c>
      <c r="AY197" s="11">
        <v>2.9</v>
      </c>
      <c r="AZ197" s="11">
        <v>2.9</v>
      </c>
      <c r="BA197" s="11">
        <v>1.33</v>
      </c>
    </row>
    <row r="198" spans="34:53" x14ac:dyDescent="0.25">
      <c r="AH198" s="11">
        <v>2</v>
      </c>
      <c r="AI198" s="11">
        <v>1.4</v>
      </c>
      <c r="AJ198" s="11">
        <v>5.4</v>
      </c>
      <c r="AK198" s="11">
        <v>3.2</v>
      </c>
      <c r="AL198" s="11">
        <v>1</v>
      </c>
      <c r="AM198" s="11">
        <v>0.3</v>
      </c>
      <c r="AN198" s="11">
        <v>6.9</v>
      </c>
      <c r="AO198" s="11">
        <v>0.8</v>
      </c>
      <c r="AP198" s="11">
        <v>2</v>
      </c>
      <c r="AQ198" s="11">
        <v>2</v>
      </c>
      <c r="AR198" s="11">
        <v>1.4</v>
      </c>
      <c r="AS198" s="11">
        <v>1.9</v>
      </c>
      <c r="AT198" s="11">
        <v>1.2</v>
      </c>
      <c r="AU198" s="11">
        <v>1.2</v>
      </c>
      <c r="AV198" s="11">
        <v>1.3380000000000001</v>
      </c>
      <c r="AW198" s="11">
        <v>1.5</v>
      </c>
      <c r="AX198" s="11">
        <v>2.5</v>
      </c>
      <c r="AY198" s="11">
        <v>3</v>
      </c>
      <c r="AZ198" s="11">
        <v>2.9</v>
      </c>
      <c r="BA198" s="11">
        <v>1.55</v>
      </c>
    </row>
    <row r="199" spans="34:53" x14ac:dyDescent="0.25">
      <c r="AH199" s="11">
        <v>1.9</v>
      </c>
      <c r="AI199" s="11">
        <v>2</v>
      </c>
      <c r="AJ199" s="11">
        <v>5</v>
      </c>
      <c r="AK199" s="11">
        <v>3.1</v>
      </c>
      <c r="AL199" s="11">
        <v>1</v>
      </c>
      <c r="AM199" s="11">
        <v>0.2</v>
      </c>
      <c r="AN199" s="11">
        <v>7</v>
      </c>
      <c r="AO199" s="11">
        <v>0.9</v>
      </c>
      <c r="AP199" s="11">
        <v>2.2000000000000002</v>
      </c>
      <c r="AQ199" s="11">
        <v>1.5</v>
      </c>
      <c r="AR199" s="11">
        <v>3.6</v>
      </c>
      <c r="AS199" s="11">
        <v>1.4</v>
      </c>
      <c r="AT199" s="11">
        <v>1.4</v>
      </c>
      <c r="AU199" s="11">
        <v>1.1000000000000001</v>
      </c>
      <c r="AV199" s="11">
        <v>1.617</v>
      </c>
      <c r="AW199" s="11">
        <v>1.4</v>
      </c>
      <c r="AX199" s="11">
        <v>2.5</v>
      </c>
      <c r="AY199" s="11">
        <v>2.1</v>
      </c>
      <c r="AZ199" s="11">
        <v>3.6</v>
      </c>
      <c r="BA199" s="11">
        <v>1.37</v>
      </c>
    </row>
    <row r="200" spans="34:53" x14ac:dyDescent="0.25">
      <c r="AH200" s="11">
        <v>1.9</v>
      </c>
      <c r="AI200" s="11">
        <v>2</v>
      </c>
      <c r="AJ200" s="11">
        <v>5</v>
      </c>
      <c r="AK200" s="11">
        <v>3.5</v>
      </c>
      <c r="AL200" s="11">
        <v>1</v>
      </c>
      <c r="AM200" s="11">
        <v>0.4</v>
      </c>
      <c r="AN200" s="11">
        <v>7</v>
      </c>
      <c r="AO200" s="11">
        <v>1.2</v>
      </c>
      <c r="AP200" s="11">
        <v>2.2000000000000002</v>
      </c>
      <c r="AQ200" s="11">
        <v>1.9</v>
      </c>
      <c r="AR200" s="11">
        <v>3.6</v>
      </c>
      <c r="AS200" s="11">
        <v>1.7</v>
      </c>
      <c r="AT200" s="11">
        <v>1.4</v>
      </c>
      <c r="AU200" s="11">
        <v>1.2</v>
      </c>
      <c r="AV200" s="11">
        <v>1.617</v>
      </c>
      <c r="AW200" s="11">
        <v>1.7</v>
      </c>
      <c r="AX200" s="11">
        <v>2.5</v>
      </c>
      <c r="AY200" s="11">
        <v>2.6</v>
      </c>
      <c r="AZ200" s="11">
        <v>3.6</v>
      </c>
      <c r="BA200" s="11">
        <v>1.98</v>
      </c>
    </row>
    <row r="201" spans="34:53" x14ac:dyDescent="0.25">
      <c r="AH201" s="11">
        <v>1.9</v>
      </c>
      <c r="AI201" s="11">
        <v>2</v>
      </c>
      <c r="AJ201" s="11">
        <v>5</v>
      </c>
      <c r="AK201" s="11">
        <v>3.7</v>
      </c>
      <c r="AL201" s="11">
        <v>1</v>
      </c>
      <c r="AM201" s="11">
        <v>0.4</v>
      </c>
      <c r="AN201" s="11">
        <v>7</v>
      </c>
      <c r="AO201" s="11">
        <v>1.5</v>
      </c>
      <c r="AP201" s="11">
        <v>2.2000000000000002</v>
      </c>
      <c r="AQ201" s="11">
        <v>1.4</v>
      </c>
      <c r="AR201" s="11">
        <v>3.6</v>
      </c>
      <c r="AS201" s="11">
        <v>1.2</v>
      </c>
      <c r="AT201" s="11">
        <v>1.4</v>
      </c>
      <c r="AU201" s="11">
        <v>0.8</v>
      </c>
      <c r="AV201" s="11">
        <v>1.617</v>
      </c>
      <c r="AW201" s="11">
        <v>1.4</v>
      </c>
      <c r="AX201" s="11">
        <v>2.5</v>
      </c>
      <c r="AY201" s="11">
        <v>2</v>
      </c>
      <c r="AZ201" s="11">
        <v>3.6</v>
      </c>
      <c r="BA201" s="11">
        <v>1.45</v>
      </c>
    </row>
    <row r="202" spans="34:53" x14ac:dyDescent="0.25">
      <c r="AH202" s="11">
        <v>2.1</v>
      </c>
      <c r="AI202" s="11">
        <v>1.6</v>
      </c>
      <c r="AJ202" s="11">
        <v>3.8</v>
      </c>
      <c r="AK202" s="11">
        <v>3.5</v>
      </c>
      <c r="AL202" s="11">
        <v>1.4</v>
      </c>
      <c r="AM202" s="11">
        <v>0.4</v>
      </c>
      <c r="AN202" s="11">
        <v>7</v>
      </c>
      <c r="AO202" s="11">
        <v>1.5</v>
      </c>
      <c r="AP202" s="11">
        <v>2.7</v>
      </c>
      <c r="AQ202" s="11">
        <v>1.3</v>
      </c>
      <c r="AR202" s="11">
        <v>1.3</v>
      </c>
      <c r="AS202" s="11">
        <v>1.4</v>
      </c>
      <c r="AT202" s="11">
        <v>2.4</v>
      </c>
      <c r="AU202" s="11">
        <v>0.7</v>
      </c>
      <c r="AV202" s="11">
        <v>1.8140000000000001</v>
      </c>
      <c r="AW202" s="11">
        <v>1.1000000000000001</v>
      </c>
      <c r="AX202" s="11">
        <v>3.2</v>
      </c>
      <c r="AY202" s="11">
        <v>1.6</v>
      </c>
      <c r="AZ202" s="11">
        <v>3.8</v>
      </c>
      <c r="BA202" s="11">
        <v>0.91</v>
      </c>
    </row>
    <row r="203" spans="34:53" x14ac:dyDescent="0.25">
      <c r="AH203" s="11">
        <v>2.1</v>
      </c>
      <c r="AI203" s="11">
        <v>1.6</v>
      </c>
      <c r="AJ203" s="11">
        <v>3.8</v>
      </c>
      <c r="AK203" s="11">
        <v>3.6</v>
      </c>
      <c r="AL203" s="11">
        <v>1.4</v>
      </c>
      <c r="AM203" s="11">
        <v>0.4</v>
      </c>
      <c r="AN203" s="11">
        <v>7</v>
      </c>
      <c r="AO203" s="11">
        <v>1.4</v>
      </c>
      <c r="AP203" s="11">
        <v>2.7</v>
      </c>
      <c r="AQ203" s="11">
        <v>1.3</v>
      </c>
      <c r="AR203" s="11">
        <v>1.3</v>
      </c>
      <c r="AS203" s="11">
        <v>1.4</v>
      </c>
      <c r="AT203" s="11">
        <v>2.4</v>
      </c>
      <c r="AU203" s="11">
        <v>0.7</v>
      </c>
      <c r="AV203" s="11">
        <v>1.8140000000000001</v>
      </c>
      <c r="AW203" s="11">
        <v>1</v>
      </c>
      <c r="AX203" s="11">
        <v>3.2</v>
      </c>
      <c r="AY203" s="11">
        <v>1.7</v>
      </c>
      <c r="AZ203" s="11">
        <v>3.8</v>
      </c>
      <c r="BA203" s="11">
        <v>0.9</v>
      </c>
    </row>
    <row r="204" spans="34:53" x14ac:dyDescent="0.25">
      <c r="AH204" s="11">
        <v>2.1</v>
      </c>
      <c r="AI204" s="11">
        <v>1.6</v>
      </c>
      <c r="AJ204" s="11">
        <v>3.8</v>
      </c>
      <c r="AK204" s="11">
        <v>3.9</v>
      </c>
      <c r="AL204" s="11">
        <v>1.4</v>
      </c>
      <c r="AM204" s="11">
        <v>0.7</v>
      </c>
      <c r="AN204" s="11">
        <v>7</v>
      </c>
      <c r="AO204" s="11">
        <v>1.8</v>
      </c>
      <c r="AP204" s="11">
        <v>2.7</v>
      </c>
      <c r="AQ204" s="11">
        <v>1.5</v>
      </c>
      <c r="AR204" s="11">
        <v>1.3</v>
      </c>
      <c r="AS204" s="11">
        <v>1.6</v>
      </c>
      <c r="AT204" s="11">
        <v>2.4</v>
      </c>
      <c r="AU204" s="11">
        <v>0.9</v>
      </c>
      <c r="AV204" s="11">
        <v>1.8140000000000001</v>
      </c>
      <c r="AW204" s="11">
        <v>1.2</v>
      </c>
      <c r="AX204" s="11">
        <v>3.2</v>
      </c>
      <c r="AY204" s="11">
        <v>2</v>
      </c>
      <c r="AZ204" s="11">
        <v>3.8</v>
      </c>
      <c r="BA204" s="11">
        <v>1.1399999999999999</v>
      </c>
    </row>
    <row r="205" spans="34:53" x14ac:dyDescent="0.25">
      <c r="AH205" s="11">
        <v>2.2999999999999998</v>
      </c>
      <c r="AI205" s="11">
        <v>1.9</v>
      </c>
      <c r="AJ205" s="11">
        <v>3.5</v>
      </c>
      <c r="AK205" s="11">
        <v>3.9</v>
      </c>
      <c r="AL205" s="11">
        <v>2.1</v>
      </c>
      <c r="AM205" s="11">
        <v>0.7</v>
      </c>
      <c r="AN205" s="11">
        <v>6.9</v>
      </c>
      <c r="AO205" s="11">
        <v>1.6</v>
      </c>
      <c r="AP205" s="11">
        <v>3</v>
      </c>
      <c r="AQ205" s="11">
        <v>1.6</v>
      </c>
      <c r="AR205" s="11">
        <v>2.7</v>
      </c>
      <c r="AS205" s="11">
        <v>1.7</v>
      </c>
      <c r="AT205" s="11">
        <v>2.8</v>
      </c>
      <c r="AU205" s="11">
        <v>1</v>
      </c>
      <c r="AV205" s="11">
        <v>1.627</v>
      </c>
      <c r="AW205" s="11">
        <v>1.1000000000000001</v>
      </c>
      <c r="AX205" s="11">
        <v>2.8</v>
      </c>
      <c r="AY205" s="11">
        <v>1.8</v>
      </c>
      <c r="AZ205" s="11">
        <v>3.3</v>
      </c>
      <c r="BA205" s="11">
        <v>1.39</v>
      </c>
    </row>
    <row r="206" spans="34:53" x14ac:dyDescent="0.25">
      <c r="AH206" s="11">
        <v>2.2999999999999998</v>
      </c>
      <c r="AI206" s="11">
        <v>1.9</v>
      </c>
      <c r="AJ206" s="11">
        <v>3.5</v>
      </c>
      <c r="AK206" s="11">
        <v>4</v>
      </c>
      <c r="AL206" s="11">
        <v>2.1</v>
      </c>
      <c r="AM206" s="11">
        <v>0.2</v>
      </c>
      <c r="AN206" s="11">
        <v>6.9</v>
      </c>
      <c r="AO206" s="11">
        <v>1.9</v>
      </c>
      <c r="AP206" s="11">
        <v>3</v>
      </c>
      <c r="AQ206" s="11">
        <v>1.4</v>
      </c>
      <c r="AR206" s="11">
        <v>2.7</v>
      </c>
      <c r="AS206" s="11">
        <v>1.3</v>
      </c>
      <c r="AT206" s="11">
        <v>2.8</v>
      </c>
      <c r="AU206" s="11">
        <v>1.1000000000000001</v>
      </c>
      <c r="AV206" s="11">
        <v>1.627</v>
      </c>
      <c r="AW206" s="11">
        <v>0.9</v>
      </c>
      <c r="AX206" s="11">
        <v>2.8</v>
      </c>
      <c r="AY206" s="11">
        <v>1.7</v>
      </c>
      <c r="AZ206" s="11">
        <v>3.3</v>
      </c>
      <c r="BA206" s="11">
        <v>1.39</v>
      </c>
    </row>
    <row r="207" spans="34:53" x14ac:dyDescent="0.25">
      <c r="AH207" s="11">
        <v>2.2999999999999998</v>
      </c>
      <c r="AI207" s="11">
        <v>1.9</v>
      </c>
      <c r="AJ207" s="11">
        <v>3.5</v>
      </c>
      <c r="AK207" s="11">
        <v>3.9</v>
      </c>
      <c r="AL207" s="11">
        <v>2.1</v>
      </c>
      <c r="AM207" s="11">
        <v>0.6</v>
      </c>
      <c r="AN207" s="11">
        <v>6.9</v>
      </c>
      <c r="AO207" s="11">
        <v>1.7</v>
      </c>
      <c r="AP207" s="11">
        <v>3</v>
      </c>
      <c r="AQ207" s="11">
        <v>1.5</v>
      </c>
      <c r="AR207" s="11">
        <v>2.7</v>
      </c>
      <c r="AS207" s="11">
        <v>1.6</v>
      </c>
      <c r="AT207" s="11">
        <v>2.8</v>
      </c>
      <c r="AU207" s="11">
        <v>1.2</v>
      </c>
      <c r="AV207" s="11">
        <v>1.627</v>
      </c>
      <c r="AW207" s="11">
        <v>0.8</v>
      </c>
      <c r="AX207" s="11">
        <v>2.8</v>
      </c>
      <c r="AY207" s="11">
        <v>1.8</v>
      </c>
      <c r="AZ207" s="11">
        <v>3.3</v>
      </c>
      <c r="BA207" s="11">
        <v>1.55</v>
      </c>
    </row>
    <row r="208" spans="34:53" x14ac:dyDescent="0.25">
      <c r="AH208" s="11">
        <v>2.7</v>
      </c>
      <c r="AI208" s="11">
        <v>2.1</v>
      </c>
      <c r="AJ208" s="11">
        <v>3.9</v>
      </c>
      <c r="AK208" s="11">
        <v>4.0999999999999996</v>
      </c>
      <c r="AL208" s="11">
        <v>2.2000000000000002</v>
      </c>
      <c r="AM208" s="11">
        <v>1</v>
      </c>
      <c r="AN208" s="11">
        <v>6.8</v>
      </c>
      <c r="AO208" s="11">
        <v>1.8</v>
      </c>
      <c r="AP208" s="11">
        <v>3.1</v>
      </c>
      <c r="AQ208" s="11">
        <v>1.3</v>
      </c>
      <c r="AR208" s="11">
        <v>3.1</v>
      </c>
      <c r="AS208" s="11">
        <v>1.4</v>
      </c>
      <c r="AT208" s="11">
        <v>3.1</v>
      </c>
      <c r="AU208" s="11">
        <v>1.2</v>
      </c>
      <c r="AV208" s="11">
        <v>1.88</v>
      </c>
      <c r="AW208" s="11">
        <v>0.8</v>
      </c>
      <c r="AX208" s="11">
        <v>3</v>
      </c>
      <c r="AY208" s="11">
        <v>1.2</v>
      </c>
      <c r="AZ208" s="11">
        <v>3.2</v>
      </c>
      <c r="BA208" s="11">
        <v>1.47</v>
      </c>
    </row>
    <row r="209" spans="34:53" x14ac:dyDescent="0.25">
      <c r="AH209" s="11">
        <v>2.7</v>
      </c>
      <c r="AI209" s="11">
        <v>2.1</v>
      </c>
      <c r="AJ209" s="11">
        <v>3.9</v>
      </c>
      <c r="AK209" s="11">
        <v>4</v>
      </c>
      <c r="AL209" s="11">
        <v>2.2000000000000002</v>
      </c>
      <c r="AM209" s="11">
        <v>1.4</v>
      </c>
      <c r="AN209" s="11">
        <v>6.8</v>
      </c>
      <c r="AO209" s="11">
        <v>1.5</v>
      </c>
      <c r="AP209" s="11">
        <v>3.1</v>
      </c>
      <c r="AQ209" s="11">
        <v>1.3</v>
      </c>
      <c r="AR209" s="11">
        <v>3.1</v>
      </c>
      <c r="AS209" s="11">
        <v>1.4</v>
      </c>
      <c r="AT209" s="11">
        <v>3.1</v>
      </c>
      <c r="AU209" s="11">
        <v>1.3</v>
      </c>
      <c r="AV209" s="11">
        <v>1.88</v>
      </c>
      <c r="AW209" s="11">
        <v>0.9</v>
      </c>
      <c r="AX209" s="11">
        <v>3</v>
      </c>
      <c r="AY209" s="11">
        <v>0.7</v>
      </c>
      <c r="AZ209" s="11">
        <v>3.2</v>
      </c>
      <c r="BA209" s="11">
        <v>1.03</v>
      </c>
    </row>
    <row r="210" spans="34:53" x14ac:dyDescent="0.25">
      <c r="AH210" s="11">
        <v>2.7</v>
      </c>
      <c r="AI210" s="11">
        <v>2.1</v>
      </c>
      <c r="AJ210" s="11">
        <v>3.9</v>
      </c>
      <c r="AK210" s="11">
        <v>3.6</v>
      </c>
      <c r="AL210" s="11">
        <v>2.2000000000000002</v>
      </c>
      <c r="AM210" s="11">
        <v>1.5</v>
      </c>
      <c r="AN210" s="11">
        <v>6.8</v>
      </c>
      <c r="AO210" s="11">
        <v>2.9</v>
      </c>
      <c r="AP210" s="11">
        <v>3.1</v>
      </c>
      <c r="AQ210" s="11">
        <v>1.1000000000000001</v>
      </c>
      <c r="AR210" s="11">
        <v>3.1</v>
      </c>
      <c r="AS210" s="11">
        <v>1.1000000000000001</v>
      </c>
      <c r="AT210" s="11">
        <v>3.1</v>
      </c>
      <c r="AU210" s="11">
        <v>1.2</v>
      </c>
      <c r="AV210" s="11">
        <v>1.88</v>
      </c>
      <c r="AW210" s="11">
        <v>0.5</v>
      </c>
      <c r="AX210" s="11">
        <v>3</v>
      </c>
      <c r="AY210" s="11">
        <v>1.2</v>
      </c>
      <c r="AZ210" s="11">
        <v>3.2</v>
      </c>
      <c r="BA210" s="11">
        <v>0.57999999999999996</v>
      </c>
    </row>
    <row r="211" spans="34:53" x14ac:dyDescent="0.25">
      <c r="AH211" s="11">
        <v>3</v>
      </c>
      <c r="AI211" s="11">
        <v>2.1</v>
      </c>
      <c r="AJ211" s="11">
        <v>3.8</v>
      </c>
      <c r="AK211" s="11">
        <v>3.3</v>
      </c>
      <c r="AL211" s="11">
        <v>1.4</v>
      </c>
      <c r="AM211" s="11">
        <v>1.1000000000000001</v>
      </c>
      <c r="AN211" s="11">
        <v>6.9</v>
      </c>
      <c r="AO211" s="11">
        <v>2.1</v>
      </c>
      <c r="AP211" s="11">
        <v>2.4</v>
      </c>
      <c r="AQ211" s="11">
        <v>1.4</v>
      </c>
      <c r="AR211" s="11">
        <v>1.4</v>
      </c>
      <c r="AS211" s="11">
        <v>1.5</v>
      </c>
      <c r="AT211" s="11">
        <v>2.2999999999999998</v>
      </c>
      <c r="AU211" s="11">
        <v>1.6</v>
      </c>
      <c r="AV211" s="11">
        <v>1.29</v>
      </c>
      <c r="AW211" s="11">
        <v>0.7</v>
      </c>
      <c r="AX211" s="11">
        <v>2.8</v>
      </c>
      <c r="AY211" s="11">
        <v>1.3</v>
      </c>
      <c r="AZ211" s="11">
        <v>2.8</v>
      </c>
      <c r="BA211" s="11">
        <v>0.69</v>
      </c>
    </row>
    <row r="212" spans="34:53" x14ac:dyDescent="0.25">
      <c r="AH212" s="11">
        <v>3</v>
      </c>
      <c r="AI212" s="11">
        <v>2.1</v>
      </c>
      <c r="AJ212" s="11">
        <v>3.8</v>
      </c>
      <c r="AK212" s="11">
        <v>3.4</v>
      </c>
      <c r="AL212" s="11">
        <v>1.4</v>
      </c>
      <c r="AM212" s="11">
        <v>0.6</v>
      </c>
      <c r="AN212" s="11">
        <v>6.9</v>
      </c>
      <c r="AO212" s="11">
        <v>1.8</v>
      </c>
      <c r="AP212" s="11">
        <v>2.4</v>
      </c>
      <c r="AQ212" s="11">
        <v>1.2</v>
      </c>
      <c r="AR212" s="11">
        <v>1.4</v>
      </c>
      <c r="AS212" s="11">
        <v>1.3</v>
      </c>
      <c r="AT212" s="11">
        <v>2.2999999999999998</v>
      </c>
      <c r="AU212" s="11">
        <v>1.6</v>
      </c>
      <c r="AV212" s="11">
        <v>1.29</v>
      </c>
      <c r="AW212" s="11">
        <v>0.4</v>
      </c>
      <c r="AX212" s="11">
        <v>2.8</v>
      </c>
      <c r="AY212" s="11">
        <v>1.1000000000000001</v>
      </c>
      <c r="AZ212" s="11">
        <v>2.8</v>
      </c>
      <c r="BA212" s="11">
        <v>0.4</v>
      </c>
    </row>
    <row r="213" spans="34:53" x14ac:dyDescent="0.25">
      <c r="AH213" s="11">
        <v>3</v>
      </c>
      <c r="AI213" s="11">
        <v>2.1</v>
      </c>
      <c r="AJ213" s="11">
        <v>3.8</v>
      </c>
      <c r="AK213" s="11">
        <v>3.3</v>
      </c>
      <c r="AL213" s="11">
        <v>1.4</v>
      </c>
      <c r="AM213" s="11">
        <v>0.7</v>
      </c>
      <c r="AN213" s="11">
        <v>6.9</v>
      </c>
      <c r="AO213" s="11">
        <v>1.8</v>
      </c>
      <c r="AP213" s="11">
        <v>2.4</v>
      </c>
      <c r="AQ213" s="11">
        <v>2</v>
      </c>
      <c r="AR213" s="11">
        <v>1.4</v>
      </c>
      <c r="AS213" s="11">
        <v>2.1</v>
      </c>
      <c r="AT213" s="11">
        <v>2.2999999999999998</v>
      </c>
      <c r="AU213" s="11">
        <v>2</v>
      </c>
      <c r="AV213" s="11">
        <v>1.29</v>
      </c>
      <c r="AW213" s="11">
        <v>0.9</v>
      </c>
      <c r="AX213" s="11">
        <v>2.8</v>
      </c>
      <c r="AY213" s="11">
        <v>2.1</v>
      </c>
      <c r="AZ213" s="11">
        <v>2.8</v>
      </c>
      <c r="BA213" s="11">
        <v>1.04</v>
      </c>
    </row>
    <row r="214" spans="34:53" x14ac:dyDescent="0.25">
      <c r="AH214" s="11">
        <v>3.3</v>
      </c>
      <c r="AI214" s="11">
        <v>2.7</v>
      </c>
      <c r="AJ214" s="11">
        <v>3.4</v>
      </c>
      <c r="AK214" s="11">
        <v>3.4</v>
      </c>
      <c r="AL214" s="11">
        <v>1.3</v>
      </c>
      <c r="AM214" s="11">
        <v>0.7</v>
      </c>
      <c r="AN214" s="11">
        <v>6.9</v>
      </c>
      <c r="AO214" s="11">
        <v>1.9</v>
      </c>
      <c r="AP214" s="11">
        <v>2.1</v>
      </c>
      <c r="AQ214" s="11">
        <v>2</v>
      </c>
      <c r="AR214" s="11">
        <v>2.2000000000000002</v>
      </c>
      <c r="AS214" s="11">
        <v>1.9</v>
      </c>
      <c r="AT214" s="11">
        <v>1.9</v>
      </c>
      <c r="AU214" s="11">
        <v>2</v>
      </c>
      <c r="AV214" s="11">
        <v>0.93400000000000005</v>
      </c>
      <c r="AW214" s="11">
        <v>1.2</v>
      </c>
      <c r="AX214" s="11">
        <v>2.2999999999999998</v>
      </c>
      <c r="AY214" s="11">
        <v>2.2999999999999998</v>
      </c>
      <c r="AZ214" s="11">
        <v>3.1</v>
      </c>
      <c r="BA214" s="11">
        <v>1.52</v>
      </c>
    </row>
    <row r="215" spans="34:53" x14ac:dyDescent="0.25">
      <c r="AH215" s="11">
        <v>3.3</v>
      </c>
      <c r="AI215" s="11">
        <v>2.7</v>
      </c>
      <c r="AJ215" s="11">
        <v>3.4</v>
      </c>
      <c r="AK215" s="11">
        <v>3.2</v>
      </c>
      <c r="AL215" s="11">
        <v>1.3</v>
      </c>
      <c r="AM215" s="11">
        <v>0.9</v>
      </c>
      <c r="AN215" s="11">
        <v>6.9</v>
      </c>
      <c r="AO215" s="11">
        <v>2.1</v>
      </c>
      <c r="AP215" s="11">
        <v>2.1</v>
      </c>
      <c r="AQ215" s="11">
        <v>2.2000000000000002</v>
      </c>
      <c r="AR215" s="11">
        <v>2.2000000000000002</v>
      </c>
      <c r="AS215" s="11">
        <v>1.9</v>
      </c>
      <c r="AT215" s="11">
        <v>1.9</v>
      </c>
      <c r="AU215" s="11">
        <v>2.2999999999999998</v>
      </c>
      <c r="AV215" s="11">
        <v>0.93400000000000005</v>
      </c>
      <c r="AW215" s="11">
        <v>1.5</v>
      </c>
      <c r="AX215" s="11">
        <v>2.2999999999999998</v>
      </c>
      <c r="AY215" s="11">
        <v>2.2999999999999998</v>
      </c>
      <c r="AZ215" s="11">
        <v>3.1</v>
      </c>
      <c r="BA215" s="11">
        <v>1.58</v>
      </c>
    </row>
    <row r="216" spans="34:53" x14ac:dyDescent="0.25">
      <c r="AH216" s="11">
        <v>3.3</v>
      </c>
      <c r="AI216" s="11">
        <v>2.7</v>
      </c>
      <c r="AJ216" s="11">
        <v>3.4</v>
      </c>
      <c r="AK216" s="11">
        <v>3.5</v>
      </c>
      <c r="AL216" s="11">
        <v>1.3</v>
      </c>
      <c r="AM216" s="11">
        <v>1.3</v>
      </c>
      <c r="AN216" s="11">
        <v>6.9</v>
      </c>
      <c r="AO216" s="11">
        <v>2.2999999999999998</v>
      </c>
      <c r="AP216" s="11">
        <v>2.1</v>
      </c>
      <c r="AQ216" s="11">
        <v>2.1</v>
      </c>
      <c r="AR216" s="11">
        <v>2.2000000000000002</v>
      </c>
      <c r="AS216" s="11">
        <v>1.9</v>
      </c>
      <c r="AT216" s="11">
        <v>1.9</v>
      </c>
      <c r="AU216" s="11">
        <v>2.2999999999999998</v>
      </c>
      <c r="AV216" s="11">
        <v>0.93400000000000005</v>
      </c>
      <c r="AW216" s="11">
        <v>1.5</v>
      </c>
      <c r="AX216" s="11">
        <v>2.2999999999999998</v>
      </c>
      <c r="AY216" s="11">
        <v>2.2000000000000002</v>
      </c>
      <c r="AZ216" s="11">
        <v>3.1</v>
      </c>
      <c r="BA216" s="11">
        <v>1.22</v>
      </c>
    </row>
    <row r="217" spans="34:53" x14ac:dyDescent="0.25">
      <c r="AH217" s="11">
        <v>3.1</v>
      </c>
      <c r="AI217" s="11">
        <v>2.5</v>
      </c>
      <c r="AJ217" s="11">
        <v>4.4000000000000004</v>
      </c>
      <c r="AK217" s="11">
        <v>3.3</v>
      </c>
      <c r="AL217" s="11">
        <v>-0.1</v>
      </c>
      <c r="AM217" s="11">
        <v>1.2</v>
      </c>
      <c r="AN217" s="11">
        <v>6.7</v>
      </c>
      <c r="AO217" s="11">
        <v>2.5</v>
      </c>
      <c r="AP217" s="11">
        <v>1.5</v>
      </c>
      <c r="AQ217" s="11">
        <v>2.1</v>
      </c>
      <c r="AR217" s="11">
        <v>0.4</v>
      </c>
      <c r="AS217" s="11">
        <v>1.9</v>
      </c>
      <c r="AT217" s="11">
        <v>1.6</v>
      </c>
      <c r="AU217" s="11">
        <v>2.2000000000000002</v>
      </c>
      <c r="AV217" s="11">
        <v>0.64400000000000002</v>
      </c>
      <c r="AW217" s="11">
        <v>1.3</v>
      </c>
      <c r="AX217" s="11">
        <v>2.2000000000000002</v>
      </c>
      <c r="AY217" s="11">
        <v>2.2999999999999998</v>
      </c>
      <c r="AZ217" s="11">
        <v>2.9</v>
      </c>
      <c r="BA217" s="11">
        <v>1.4</v>
      </c>
    </row>
    <row r="218" spans="34:53" x14ac:dyDescent="0.25">
      <c r="AH218" s="11">
        <v>3.1</v>
      </c>
      <c r="AI218" s="11">
        <v>2.5</v>
      </c>
      <c r="AJ218" s="11">
        <v>4.4000000000000004</v>
      </c>
      <c r="AK218" s="11">
        <v>3.3</v>
      </c>
      <c r="AL218" s="11">
        <v>-0.1</v>
      </c>
      <c r="AM218" s="11">
        <v>1.4</v>
      </c>
      <c r="AN218" s="11">
        <v>6.7</v>
      </c>
      <c r="AO218" s="11">
        <v>2.5</v>
      </c>
      <c r="AP218" s="11">
        <v>1.5</v>
      </c>
      <c r="AQ218" s="11">
        <v>2.2999999999999998</v>
      </c>
      <c r="AR218" s="11">
        <v>0.4</v>
      </c>
      <c r="AS218" s="11">
        <v>2.2999999999999998</v>
      </c>
      <c r="AT218" s="11">
        <v>1.6</v>
      </c>
      <c r="AU218" s="11">
        <v>2.2000000000000002</v>
      </c>
      <c r="AV218" s="11">
        <v>0.64400000000000002</v>
      </c>
      <c r="AW218" s="11">
        <v>1.5</v>
      </c>
      <c r="AX218" s="11">
        <v>2.2000000000000002</v>
      </c>
      <c r="AY218" s="11">
        <v>2.2999999999999998</v>
      </c>
      <c r="AZ218" s="11">
        <v>2.9</v>
      </c>
      <c r="BA218" s="11">
        <v>0.96</v>
      </c>
    </row>
    <row r="219" spans="34:53" x14ac:dyDescent="0.25">
      <c r="AH219" s="11">
        <v>3.1</v>
      </c>
      <c r="AI219" s="11">
        <v>2.5</v>
      </c>
      <c r="AJ219" s="11">
        <v>4.4000000000000004</v>
      </c>
      <c r="AK219" s="11">
        <v>3.2</v>
      </c>
      <c r="AL219" s="11">
        <v>-0.1</v>
      </c>
      <c r="AM219" s="11">
        <v>0.8</v>
      </c>
      <c r="AN219" s="11">
        <v>6.7</v>
      </c>
      <c r="AO219" s="11">
        <v>2.2000000000000002</v>
      </c>
      <c r="AP219" s="11">
        <v>1.5</v>
      </c>
      <c r="AQ219" s="11">
        <v>1.9</v>
      </c>
      <c r="AR219" s="11">
        <v>0.4</v>
      </c>
      <c r="AS219" s="11">
        <v>2.1</v>
      </c>
      <c r="AT219" s="11">
        <v>1.6</v>
      </c>
      <c r="AU219" s="11">
        <v>1.9</v>
      </c>
      <c r="AV219" s="11">
        <v>0.64400000000000002</v>
      </c>
      <c r="AW219" s="11">
        <v>1.4</v>
      </c>
      <c r="AX219" s="11">
        <v>2.2000000000000002</v>
      </c>
      <c r="AY219" s="11">
        <v>1.7</v>
      </c>
      <c r="AZ219" s="11">
        <v>2.9</v>
      </c>
      <c r="BA219" s="11">
        <v>0.86</v>
      </c>
    </row>
    <row r="220" spans="34:53" x14ac:dyDescent="0.25">
      <c r="AH220" s="11">
        <v>2.2999999999999998</v>
      </c>
      <c r="AI220" s="11">
        <v>2.2999999999999998</v>
      </c>
      <c r="AJ220" s="11">
        <v>3.4</v>
      </c>
      <c r="AK220" s="11">
        <v>2.7</v>
      </c>
      <c r="AL220" s="11">
        <v>-0.2</v>
      </c>
      <c r="AM220" s="11">
        <v>0.3</v>
      </c>
      <c r="AN220" s="11">
        <v>6.5</v>
      </c>
      <c r="AO220" s="11">
        <v>1.9</v>
      </c>
      <c r="AP220" s="11">
        <v>1.2</v>
      </c>
      <c r="AQ220" s="11">
        <v>1.5</v>
      </c>
      <c r="AR220" s="11">
        <v>0.3</v>
      </c>
      <c r="AS220" s="11">
        <v>1.6</v>
      </c>
      <c r="AT220" s="11">
        <v>1.5</v>
      </c>
      <c r="AU220" s="11">
        <v>1.6</v>
      </c>
      <c r="AV220" s="11">
        <v>0.378</v>
      </c>
      <c r="AW220" s="11">
        <v>1</v>
      </c>
      <c r="AX220" s="11">
        <v>2.2999999999999998</v>
      </c>
      <c r="AY220" s="11">
        <v>1.2</v>
      </c>
      <c r="AZ220" s="11">
        <v>2.9</v>
      </c>
      <c r="BA220" s="11">
        <v>0.66</v>
      </c>
    </row>
    <row r="221" spans="34:53" x14ac:dyDescent="0.25">
      <c r="AH221" s="11">
        <v>2.2999999999999998</v>
      </c>
      <c r="AI221" s="11">
        <v>2.2999999999999998</v>
      </c>
      <c r="AJ221" s="11">
        <v>3.4</v>
      </c>
      <c r="AK221" s="11">
        <v>2.5</v>
      </c>
      <c r="AL221" s="11">
        <v>-0.2</v>
      </c>
      <c r="AM221" s="11">
        <v>0.2</v>
      </c>
      <c r="AN221" s="11">
        <v>6.5</v>
      </c>
      <c r="AO221" s="11">
        <v>1.7</v>
      </c>
      <c r="AP221" s="11">
        <v>1.2</v>
      </c>
      <c r="AQ221" s="11">
        <v>1.4</v>
      </c>
      <c r="AR221" s="11">
        <v>0.3</v>
      </c>
      <c r="AS221" s="11">
        <v>1.4</v>
      </c>
      <c r="AT221" s="11">
        <v>1.5</v>
      </c>
      <c r="AU221" s="11">
        <v>1.2</v>
      </c>
      <c r="AV221" s="11">
        <v>0.378</v>
      </c>
      <c r="AW221" s="11">
        <v>0.7</v>
      </c>
      <c r="AX221" s="11">
        <v>2.2999999999999998</v>
      </c>
      <c r="AY221" s="11">
        <v>1</v>
      </c>
      <c r="AZ221" s="11">
        <v>2.9</v>
      </c>
      <c r="BA221" s="11">
        <v>0.48</v>
      </c>
    </row>
    <row r="222" spans="34:53" x14ac:dyDescent="0.25">
      <c r="AH222" s="11">
        <v>2.2999999999999998</v>
      </c>
      <c r="AI222" s="11">
        <v>2.2999999999999998</v>
      </c>
      <c r="AJ222" s="11">
        <v>3.4</v>
      </c>
      <c r="AK222" s="11">
        <v>2.5</v>
      </c>
      <c r="AL222" s="11">
        <v>-0.2</v>
      </c>
      <c r="AM222" s="11">
        <v>0.2</v>
      </c>
      <c r="AN222" s="11">
        <v>6.5</v>
      </c>
      <c r="AO222" s="11">
        <v>1.5</v>
      </c>
      <c r="AP222" s="11">
        <v>1.2</v>
      </c>
      <c r="AQ222" s="11">
        <v>1.5</v>
      </c>
      <c r="AR222" s="11">
        <v>0.3</v>
      </c>
      <c r="AS222" s="11">
        <v>1.5</v>
      </c>
      <c r="AT222" s="11">
        <v>1.5</v>
      </c>
      <c r="AU222" s="11">
        <v>1.3</v>
      </c>
      <c r="AV222" s="11">
        <v>0.378</v>
      </c>
      <c r="AW222" s="11">
        <v>0.8</v>
      </c>
      <c r="AX222" s="11">
        <v>2.2999999999999998</v>
      </c>
      <c r="AY222" s="11">
        <v>1.1000000000000001</v>
      </c>
      <c r="AZ222" s="11">
        <v>2.9</v>
      </c>
      <c r="BA222" s="11">
        <v>0.94</v>
      </c>
    </row>
    <row r="223" spans="34:53" x14ac:dyDescent="0.25">
      <c r="AH223" s="11">
        <v>2.2000000000000002</v>
      </c>
      <c r="AI223" s="11">
        <v>2.1</v>
      </c>
      <c r="AJ223" s="11">
        <v>3.9</v>
      </c>
      <c r="AK223" s="11">
        <v>2.4</v>
      </c>
      <c r="AL223" s="11">
        <v>-0.1</v>
      </c>
      <c r="AM223" s="11">
        <v>0.5</v>
      </c>
      <c r="AN223" s="11">
        <v>6.3</v>
      </c>
      <c r="AO223" s="11">
        <v>2.2999999999999998</v>
      </c>
      <c r="AP223" s="11">
        <v>1.9</v>
      </c>
      <c r="AQ223" s="11">
        <v>1.4</v>
      </c>
      <c r="AR223" s="11">
        <v>1.5</v>
      </c>
      <c r="AS223" s="11">
        <v>1.3</v>
      </c>
      <c r="AT223" s="11">
        <v>2.1</v>
      </c>
      <c r="AU223" s="11">
        <v>1.1000000000000001</v>
      </c>
      <c r="AV223" s="11">
        <v>0.627</v>
      </c>
      <c r="AW223" s="11">
        <v>0.8</v>
      </c>
      <c r="AX223" s="11">
        <v>2.2000000000000002</v>
      </c>
      <c r="AY223" s="11">
        <v>1.3</v>
      </c>
      <c r="AZ223" s="11">
        <v>2.8</v>
      </c>
      <c r="BA223" s="11">
        <v>0.85</v>
      </c>
    </row>
    <row r="224" spans="34:53" x14ac:dyDescent="0.25">
      <c r="AH224" s="11">
        <v>2.2000000000000002</v>
      </c>
      <c r="AI224" s="11">
        <v>2.1</v>
      </c>
      <c r="AJ224" s="11">
        <v>3.9</v>
      </c>
      <c r="AK224" s="11">
        <v>3</v>
      </c>
      <c r="AL224" s="11">
        <v>-0.1</v>
      </c>
      <c r="AM224" s="11">
        <v>0.9</v>
      </c>
      <c r="AN224" s="11">
        <v>6.3</v>
      </c>
      <c r="AO224" s="11">
        <v>2.5</v>
      </c>
      <c r="AP224" s="11">
        <v>1.9</v>
      </c>
      <c r="AQ224" s="11">
        <v>1.7</v>
      </c>
      <c r="AR224" s="11">
        <v>1.5</v>
      </c>
      <c r="AS224" s="11">
        <v>2</v>
      </c>
      <c r="AT224" s="11">
        <v>2.1</v>
      </c>
      <c r="AU224" s="11">
        <v>1.3</v>
      </c>
      <c r="AV224" s="11">
        <v>0.627</v>
      </c>
      <c r="AW224" s="11">
        <v>0.9</v>
      </c>
      <c r="AX224" s="11">
        <v>2.2000000000000002</v>
      </c>
      <c r="AY224" s="11">
        <v>1.6</v>
      </c>
      <c r="AZ224" s="11">
        <v>2.8</v>
      </c>
      <c r="BA224" s="11">
        <v>0.77</v>
      </c>
    </row>
    <row r="225" spans="34:53" x14ac:dyDescent="0.25">
      <c r="AH225" s="11">
        <v>2.2000000000000002</v>
      </c>
      <c r="AI225" s="11">
        <v>2.1</v>
      </c>
      <c r="AJ225" s="11">
        <v>3.9</v>
      </c>
      <c r="AK225" s="11">
        <v>3</v>
      </c>
      <c r="AL225" s="11">
        <v>-0.1</v>
      </c>
      <c r="AM225" s="11">
        <v>0.7</v>
      </c>
      <c r="AN225" s="11">
        <v>6.3</v>
      </c>
      <c r="AO225" s="11">
        <v>2.7</v>
      </c>
      <c r="AP225" s="11">
        <v>1.9</v>
      </c>
      <c r="AQ225" s="11">
        <v>1.2</v>
      </c>
      <c r="AR225" s="11">
        <v>1.5</v>
      </c>
      <c r="AS225" s="11">
        <v>1.4</v>
      </c>
      <c r="AT225" s="11">
        <v>2.1</v>
      </c>
      <c r="AU225" s="11">
        <v>0.9</v>
      </c>
      <c r="AV225" s="11">
        <v>0.627</v>
      </c>
      <c r="AW225" s="11">
        <v>0.7</v>
      </c>
      <c r="AX225" s="11">
        <v>2.2000000000000002</v>
      </c>
      <c r="AY225" s="11">
        <v>0.9</v>
      </c>
      <c r="AZ225" s="11">
        <v>2.8</v>
      </c>
      <c r="BA225" s="11">
        <v>0.42</v>
      </c>
    </row>
    <row r="226" spans="34:53" x14ac:dyDescent="0.25">
      <c r="AH226" s="11">
        <v>2.1</v>
      </c>
      <c r="AI226" s="11">
        <v>1.7</v>
      </c>
      <c r="AJ226" s="11">
        <v>4.0999999999999996</v>
      </c>
      <c r="AK226" s="11">
        <v>2.9</v>
      </c>
      <c r="AL226" s="11">
        <v>0.1</v>
      </c>
      <c r="AM226" s="11">
        <v>0.7</v>
      </c>
      <c r="AN226" s="11">
        <v>6</v>
      </c>
      <c r="AO226" s="11">
        <v>2.7</v>
      </c>
      <c r="AP226" s="11">
        <v>1.6</v>
      </c>
      <c r="AQ226" s="11">
        <v>1.3</v>
      </c>
      <c r="AR226" s="11">
        <v>0.1</v>
      </c>
      <c r="AS226" s="11">
        <v>1.6</v>
      </c>
      <c r="AT226" s="11">
        <v>2.2999999999999998</v>
      </c>
      <c r="AU226" s="11">
        <v>1.2</v>
      </c>
      <c r="AV226" s="11">
        <v>0.88900000000000001</v>
      </c>
      <c r="AW226" s="11">
        <v>0.5</v>
      </c>
      <c r="AX226" s="11">
        <v>2.1</v>
      </c>
      <c r="AY226" s="11">
        <v>0.6</v>
      </c>
      <c r="AZ226" s="11">
        <v>2.6</v>
      </c>
      <c r="BA226" s="11">
        <v>0.39</v>
      </c>
    </row>
    <row r="227" spans="34:53" x14ac:dyDescent="0.25">
      <c r="AH227" s="11">
        <v>2.1</v>
      </c>
      <c r="AI227" s="11">
        <v>1.7</v>
      </c>
      <c r="AJ227" s="11">
        <v>4.0999999999999996</v>
      </c>
      <c r="AK227" s="11">
        <v>2.8</v>
      </c>
      <c r="AL227" s="11">
        <v>0.1</v>
      </c>
      <c r="AM227" s="11">
        <v>0.5</v>
      </c>
      <c r="AN227" s="11">
        <v>6</v>
      </c>
      <c r="AO227" s="11">
        <v>2.8</v>
      </c>
      <c r="AP227" s="11">
        <v>1.6</v>
      </c>
      <c r="AQ227" s="11">
        <v>1</v>
      </c>
      <c r="AR227" s="11">
        <v>0.1</v>
      </c>
      <c r="AS227" s="11">
        <v>1.7</v>
      </c>
      <c r="AT227" s="11">
        <v>2.2999999999999998</v>
      </c>
      <c r="AU227" s="11">
        <v>1.1000000000000001</v>
      </c>
      <c r="AV227" s="11">
        <v>0.88900000000000001</v>
      </c>
      <c r="AW227" s="11">
        <v>0.2</v>
      </c>
      <c r="AX227" s="11">
        <v>2.1</v>
      </c>
      <c r="AY227" s="11">
        <v>0.6</v>
      </c>
      <c r="AZ227" s="11">
        <v>2.6</v>
      </c>
      <c r="BA227" s="11">
        <v>-0.32</v>
      </c>
    </row>
    <row r="228" spans="34:53" x14ac:dyDescent="0.25">
      <c r="AH228" s="11">
        <v>2.1</v>
      </c>
      <c r="AI228" s="11">
        <v>1.7</v>
      </c>
      <c r="AJ228" s="11">
        <v>4.0999999999999996</v>
      </c>
      <c r="AK228" s="11">
        <v>2.6</v>
      </c>
      <c r="AL228" s="11">
        <v>0.1</v>
      </c>
      <c r="AM228" s="11">
        <v>0.3</v>
      </c>
      <c r="AN228" s="11">
        <v>6</v>
      </c>
      <c r="AO228" s="11">
        <v>2.8</v>
      </c>
      <c r="AP228" s="11">
        <v>1.6</v>
      </c>
      <c r="AQ228" s="11">
        <v>1</v>
      </c>
      <c r="AR228" s="11">
        <v>0.1</v>
      </c>
      <c r="AS228" s="11">
        <v>1.4</v>
      </c>
      <c r="AT228" s="11">
        <v>2.2999999999999998</v>
      </c>
      <c r="AU228" s="11">
        <v>1</v>
      </c>
      <c r="AV228" s="11">
        <v>0.88900000000000001</v>
      </c>
      <c r="AW228" s="11">
        <v>0.3</v>
      </c>
      <c r="AX228" s="11">
        <v>2.1</v>
      </c>
      <c r="AY228" s="11">
        <v>0.4</v>
      </c>
      <c r="AZ228" s="11">
        <v>2.6</v>
      </c>
      <c r="BA228" s="11">
        <v>-0.09</v>
      </c>
    </row>
    <row r="229" spans="34:53" x14ac:dyDescent="0.25">
      <c r="AH229" s="11">
        <v>2.2999999999999998</v>
      </c>
      <c r="AI229" s="11">
        <v>1.7</v>
      </c>
      <c r="AJ229" s="11">
        <v>4.0999999999999996</v>
      </c>
      <c r="AK229" s="11">
        <v>2.4</v>
      </c>
      <c r="AL229" s="11">
        <v>0.8</v>
      </c>
      <c r="AM229" s="11">
        <v>0.2</v>
      </c>
      <c r="AN229" s="11">
        <v>5.9</v>
      </c>
      <c r="AO229" s="11">
        <v>3</v>
      </c>
      <c r="AP229" s="11">
        <v>1.8</v>
      </c>
      <c r="AQ229" s="11">
        <v>0.8</v>
      </c>
      <c r="AR229" s="11">
        <v>1.8</v>
      </c>
      <c r="AS229" s="11">
        <v>1.2</v>
      </c>
      <c r="AT229" s="11">
        <v>2</v>
      </c>
      <c r="AU229" s="11">
        <v>0.9</v>
      </c>
      <c r="AV229" s="11">
        <v>0.77400000000000002</v>
      </c>
      <c r="AW229" s="11">
        <v>0.1</v>
      </c>
      <c r="AX229" s="11">
        <v>1.8</v>
      </c>
      <c r="AY229" s="11">
        <v>0.2</v>
      </c>
      <c r="AZ229" s="11">
        <v>2.5</v>
      </c>
      <c r="BA229" s="11">
        <v>-0.11</v>
      </c>
    </row>
    <row r="230" spans="34:53" x14ac:dyDescent="0.25">
      <c r="AH230" s="11">
        <v>2.2999999999999998</v>
      </c>
      <c r="AI230" s="11">
        <v>1.7</v>
      </c>
      <c r="AJ230" s="11">
        <v>4.0999999999999996</v>
      </c>
      <c r="AK230" s="11">
        <v>2.1</v>
      </c>
      <c r="AL230" s="11">
        <v>0.8</v>
      </c>
      <c r="AM230" s="11">
        <v>0.2</v>
      </c>
      <c r="AN230" s="11">
        <v>5.9</v>
      </c>
      <c r="AO230" s="11">
        <v>3.8</v>
      </c>
      <c r="AP230" s="11">
        <v>1.8</v>
      </c>
      <c r="AQ230" s="11">
        <v>0.7</v>
      </c>
      <c r="AR230" s="11">
        <v>1.8</v>
      </c>
      <c r="AS230" s="11">
        <v>1.1000000000000001</v>
      </c>
      <c r="AT230" s="11">
        <v>2</v>
      </c>
      <c r="AU230" s="11">
        <v>0.8</v>
      </c>
      <c r="AV230" s="11">
        <v>0.77400000000000002</v>
      </c>
      <c r="AW230" s="11">
        <v>0</v>
      </c>
      <c r="AX230" s="11">
        <v>1.8</v>
      </c>
      <c r="AY230" s="11">
        <v>0.2</v>
      </c>
      <c r="AZ230" s="11">
        <v>2.5</v>
      </c>
      <c r="BA230" s="11">
        <v>0.02</v>
      </c>
    </row>
    <row r="231" spans="34:53" x14ac:dyDescent="0.25">
      <c r="AH231" s="11">
        <v>2.2999999999999998</v>
      </c>
      <c r="AI231" s="11">
        <v>1.7</v>
      </c>
      <c r="AJ231" s="11">
        <v>4.0999999999999996</v>
      </c>
      <c r="AK231" s="11">
        <v>2.2000000000000002</v>
      </c>
      <c r="AL231" s="11">
        <v>0.8</v>
      </c>
      <c r="AM231" s="11">
        <v>0.5</v>
      </c>
      <c r="AN231" s="11">
        <v>5.9</v>
      </c>
      <c r="AO231" s="11">
        <v>4.5</v>
      </c>
      <c r="AP231" s="11">
        <v>1.8</v>
      </c>
      <c r="AQ231" s="11">
        <v>1</v>
      </c>
      <c r="AR231" s="11">
        <v>1.8</v>
      </c>
      <c r="AS231" s="11">
        <v>1.1000000000000001</v>
      </c>
      <c r="AT231" s="11">
        <v>2</v>
      </c>
      <c r="AU231" s="11">
        <v>1</v>
      </c>
      <c r="AV231" s="11">
        <v>0.77400000000000002</v>
      </c>
      <c r="AW231" s="11">
        <v>0.1</v>
      </c>
      <c r="AX231" s="11">
        <v>1.8</v>
      </c>
      <c r="AY231" s="11">
        <v>0.5</v>
      </c>
      <c r="AZ231" s="11">
        <v>2.5</v>
      </c>
      <c r="BA231" s="11">
        <v>0.32</v>
      </c>
    </row>
    <row r="232" spans="34:53" x14ac:dyDescent="0.25">
      <c r="AH232" s="11">
        <v>2.6</v>
      </c>
      <c r="AI232" s="11">
        <v>1.6</v>
      </c>
      <c r="AJ232" s="11">
        <v>3.4</v>
      </c>
      <c r="AK232" s="11">
        <v>2.2000000000000002</v>
      </c>
      <c r="AL232" s="11">
        <v>-1.7</v>
      </c>
      <c r="AM232" s="11">
        <v>0.8</v>
      </c>
      <c r="AN232" s="11">
        <v>5.8</v>
      </c>
      <c r="AO232" s="11">
        <v>4.5</v>
      </c>
      <c r="AP232" s="11">
        <v>1.1000000000000001</v>
      </c>
      <c r="AQ232" s="11">
        <v>1.3</v>
      </c>
      <c r="AR232" s="11">
        <v>0.7</v>
      </c>
      <c r="AS232" s="11">
        <v>1.5</v>
      </c>
      <c r="AT232" s="11">
        <v>0.9</v>
      </c>
      <c r="AU232" s="11">
        <v>1.5</v>
      </c>
      <c r="AV232" s="11">
        <v>-0.29799999999999999</v>
      </c>
      <c r="AW232" s="11">
        <v>0.4</v>
      </c>
      <c r="AX232" s="11">
        <v>1.7</v>
      </c>
      <c r="AY232" s="11">
        <v>0.8</v>
      </c>
      <c r="AZ232" s="11">
        <v>2.8</v>
      </c>
      <c r="BA232" s="11">
        <v>0.42</v>
      </c>
    </row>
    <row r="233" spans="34:53" x14ac:dyDescent="0.25">
      <c r="AH233" s="11">
        <v>2.6</v>
      </c>
      <c r="AI233" s="11">
        <v>1.6</v>
      </c>
      <c r="AJ233" s="11">
        <v>3.4</v>
      </c>
      <c r="AK233" s="11">
        <v>2.7</v>
      </c>
      <c r="AL233" s="11">
        <v>-1.7</v>
      </c>
      <c r="AM233" s="11">
        <v>0.7</v>
      </c>
      <c r="AN233" s="11">
        <v>5.8</v>
      </c>
      <c r="AO233" s="11">
        <v>5.4</v>
      </c>
      <c r="AP233" s="11">
        <v>1.1000000000000001</v>
      </c>
      <c r="AQ233" s="11">
        <v>1.4</v>
      </c>
      <c r="AR233" s="11">
        <v>0.7</v>
      </c>
      <c r="AS233" s="11">
        <v>1.7</v>
      </c>
      <c r="AT233" s="11">
        <v>0.9</v>
      </c>
      <c r="AU233" s="11">
        <v>1.5</v>
      </c>
      <c r="AV233" s="11">
        <v>-0.29799999999999999</v>
      </c>
      <c r="AW233" s="11">
        <v>0.5</v>
      </c>
      <c r="AX233" s="11">
        <v>1.7</v>
      </c>
      <c r="AY233" s="11">
        <v>1.1000000000000001</v>
      </c>
      <c r="AZ233" s="11">
        <v>2.8</v>
      </c>
      <c r="BA233" s="11">
        <v>0.8</v>
      </c>
    </row>
    <row r="234" spans="34:53" x14ac:dyDescent="0.25">
      <c r="AH234" s="11">
        <v>2.6</v>
      </c>
      <c r="AI234" s="11">
        <v>1.6</v>
      </c>
      <c r="AJ234" s="11">
        <v>3.4</v>
      </c>
      <c r="AK234" s="11">
        <v>2.5</v>
      </c>
      <c r="AL234" s="11">
        <v>-1.7</v>
      </c>
      <c r="AM234" s="11">
        <v>0.4</v>
      </c>
      <c r="AN234" s="11">
        <v>5.8</v>
      </c>
      <c r="AO234" s="11">
        <v>5.2</v>
      </c>
      <c r="AP234" s="11">
        <v>1.1000000000000001</v>
      </c>
      <c r="AQ234" s="11">
        <v>1.2</v>
      </c>
      <c r="AR234" s="11">
        <v>0.7</v>
      </c>
      <c r="AS234" s="11">
        <v>1.7</v>
      </c>
      <c r="AT234" s="11">
        <v>0.9</v>
      </c>
      <c r="AU234" s="11">
        <v>1.4</v>
      </c>
      <c r="AV234" s="11">
        <v>-0.29799999999999999</v>
      </c>
      <c r="AW234" s="11">
        <v>0.2</v>
      </c>
      <c r="AX234" s="11">
        <v>1.7</v>
      </c>
      <c r="AY234" s="11">
        <v>0.9</v>
      </c>
      <c r="AZ234" s="11">
        <v>2.8</v>
      </c>
      <c r="BA234" s="11">
        <v>0.38</v>
      </c>
    </row>
    <row r="235" spans="34:53" x14ac:dyDescent="0.25">
      <c r="AH235" s="11">
        <v>0.6</v>
      </c>
      <c r="AI235" s="11">
        <v>1.6</v>
      </c>
      <c r="AJ235" s="11">
        <v>0.9</v>
      </c>
      <c r="AK235" s="11">
        <v>2.6</v>
      </c>
      <c r="AL235" s="11">
        <v>-1.8</v>
      </c>
      <c r="AM235" s="11">
        <v>0.4</v>
      </c>
      <c r="AN235" s="11">
        <v>-6.9</v>
      </c>
      <c r="AO235" s="11">
        <v>4.3</v>
      </c>
      <c r="AP235" s="11">
        <v>-3.2</v>
      </c>
      <c r="AQ235" s="11">
        <v>0.7</v>
      </c>
      <c r="AR235" s="11">
        <v>-1.5</v>
      </c>
      <c r="AS235" s="11">
        <v>1.4</v>
      </c>
      <c r="AT235" s="11">
        <v>-5.5</v>
      </c>
      <c r="AU235" s="11">
        <v>0.7</v>
      </c>
      <c r="AV235" s="11">
        <v>-6.3860000000000001</v>
      </c>
      <c r="AW235" s="11">
        <v>0.1</v>
      </c>
      <c r="AX235" s="11">
        <v>-4.3</v>
      </c>
      <c r="AY235" s="11">
        <v>0.1</v>
      </c>
      <c r="AZ235" s="11">
        <v>-2.6</v>
      </c>
      <c r="BA235" s="11">
        <v>0.05</v>
      </c>
    </row>
    <row r="236" spans="34:53" x14ac:dyDescent="0.25">
      <c r="AH236" s="11">
        <v>0.6</v>
      </c>
      <c r="AI236" s="11">
        <v>1.6</v>
      </c>
      <c r="AJ236" s="11">
        <v>0.9</v>
      </c>
      <c r="AK236" s="11">
        <v>1.5</v>
      </c>
      <c r="AL236" s="11">
        <v>-1.8</v>
      </c>
      <c r="AM236" s="11">
        <v>0.1</v>
      </c>
      <c r="AN236" s="11">
        <v>-6.9</v>
      </c>
      <c r="AO236" s="11">
        <v>3.3</v>
      </c>
      <c r="AP236" s="11">
        <v>-3.2</v>
      </c>
      <c r="AQ236" s="11">
        <v>0.3</v>
      </c>
      <c r="AR236" s="11">
        <v>-1.5</v>
      </c>
      <c r="AS236" s="11">
        <v>0.9</v>
      </c>
      <c r="AT236" s="11">
        <v>-5.5</v>
      </c>
      <c r="AU236" s="11">
        <v>0.3</v>
      </c>
      <c r="AV236" s="11">
        <v>-6.3860000000000001</v>
      </c>
      <c r="AW236" s="11">
        <v>-0.1</v>
      </c>
      <c r="AX236" s="11">
        <v>-4.3</v>
      </c>
      <c r="AY236" s="11">
        <v>-0.7</v>
      </c>
      <c r="AZ236" s="11">
        <v>-2.6</v>
      </c>
      <c r="BA236" s="11">
        <v>-0.22</v>
      </c>
    </row>
    <row r="237" spans="34:53" x14ac:dyDescent="0.25">
      <c r="AH237" s="11">
        <v>0.6</v>
      </c>
      <c r="AI237" s="11">
        <v>1.6</v>
      </c>
      <c r="AJ237" s="11">
        <v>0.9</v>
      </c>
      <c r="AK237" s="11">
        <v>1</v>
      </c>
      <c r="AL237" s="11">
        <v>-1.8</v>
      </c>
      <c r="AM237" s="11">
        <v>0.1</v>
      </c>
      <c r="AN237" s="11">
        <v>-6.9</v>
      </c>
      <c r="AO237" s="11">
        <v>2.4</v>
      </c>
      <c r="AP237" s="11">
        <v>-3.2</v>
      </c>
      <c r="AQ237" s="11">
        <v>0.1</v>
      </c>
      <c r="AR237" s="11">
        <v>-1.5</v>
      </c>
      <c r="AS237" s="11">
        <v>0.6</v>
      </c>
      <c r="AT237" s="11">
        <v>-5.5</v>
      </c>
      <c r="AU237" s="11">
        <v>0.4</v>
      </c>
      <c r="AV237" s="11">
        <v>-6.3860000000000001</v>
      </c>
      <c r="AW237" s="11">
        <v>-0.4</v>
      </c>
      <c r="AX237" s="11">
        <v>-4.3</v>
      </c>
      <c r="AY237" s="11">
        <v>-0.9</v>
      </c>
      <c r="AZ237" s="11">
        <v>-2.6</v>
      </c>
      <c r="BA237" s="11">
        <v>-0.72</v>
      </c>
    </row>
    <row r="238" spans="34:53" x14ac:dyDescent="0.25">
      <c r="AH238" s="11">
        <v>-9.1</v>
      </c>
      <c r="AI238" s="11">
        <v>0.6</v>
      </c>
      <c r="AJ238" s="11">
        <v>-11.2</v>
      </c>
      <c r="AK238" s="11">
        <v>1.1000000000000001</v>
      </c>
      <c r="AL238" s="11">
        <v>-10.1</v>
      </c>
      <c r="AM238" s="11">
        <v>0.1</v>
      </c>
      <c r="AN238" s="11">
        <v>3.1</v>
      </c>
      <c r="AO238" s="11">
        <v>2.5</v>
      </c>
      <c r="AP238" s="11">
        <v>-14.6</v>
      </c>
      <c r="AQ238" s="11">
        <v>0.3</v>
      </c>
      <c r="AR238" s="11">
        <v>-11.3</v>
      </c>
      <c r="AS238" s="11">
        <v>0.9</v>
      </c>
      <c r="AT238" s="11">
        <v>-18.600000000000001</v>
      </c>
      <c r="AU238" s="11">
        <v>0.2</v>
      </c>
      <c r="AV238" s="11">
        <v>-18.471</v>
      </c>
      <c r="AW238" s="11">
        <v>-0.3</v>
      </c>
      <c r="AX238" s="11">
        <v>-21.5</v>
      </c>
      <c r="AY238" s="11">
        <v>-0.3</v>
      </c>
      <c r="AZ238" s="11">
        <v>-17.899999999999999</v>
      </c>
      <c r="BA238" s="11">
        <v>0.13</v>
      </c>
    </row>
    <row r="239" spans="34:53" x14ac:dyDescent="0.25">
      <c r="AH239" s="11">
        <v>-9.1</v>
      </c>
      <c r="AI239" s="11">
        <v>0.6</v>
      </c>
      <c r="AJ239" s="11">
        <v>-11.2</v>
      </c>
      <c r="AK239" s="11">
        <v>1.6</v>
      </c>
      <c r="AL239" s="11">
        <v>-10.1</v>
      </c>
      <c r="AM239" s="11">
        <v>0.3</v>
      </c>
      <c r="AN239" s="11">
        <v>3.1</v>
      </c>
      <c r="AO239" s="11">
        <v>2.7</v>
      </c>
      <c r="AP239" s="11">
        <v>-14.6</v>
      </c>
      <c r="AQ239" s="11">
        <v>0.4</v>
      </c>
      <c r="AR239" s="11">
        <v>-11.3</v>
      </c>
      <c r="AS239" s="11">
        <v>-0.1</v>
      </c>
      <c r="AT239" s="11">
        <v>-18.600000000000001</v>
      </c>
      <c r="AU239" s="11">
        <v>0.8</v>
      </c>
      <c r="AV239" s="11">
        <v>-18.471</v>
      </c>
      <c r="AW239" s="11">
        <v>-0.4</v>
      </c>
      <c r="AX239" s="11">
        <v>-21.5</v>
      </c>
      <c r="AY239" s="11">
        <v>-0.7</v>
      </c>
      <c r="AZ239" s="11">
        <v>-17.899999999999999</v>
      </c>
      <c r="BA239" s="11">
        <v>0.14000000000000001</v>
      </c>
    </row>
    <row r="240" spans="34:53" x14ac:dyDescent="0.25">
      <c r="AH240" s="11">
        <v>-9.1</v>
      </c>
      <c r="AI240" s="11">
        <v>0.6</v>
      </c>
      <c r="AJ240" s="11">
        <v>-11.2</v>
      </c>
      <c r="AK240" s="11">
        <v>0.5</v>
      </c>
      <c r="AL240" s="11">
        <v>-10.1</v>
      </c>
      <c r="AM240" s="11">
        <v>0.2</v>
      </c>
      <c r="AN240" s="11">
        <v>3.1</v>
      </c>
      <c r="AO240" s="11">
        <v>2.4</v>
      </c>
      <c r="AP240" s="11">
        <v>-14.6</v>
      </c>
      <c r="AQ240" s="11">
        <v>-0.2</v>
      </c>
      <c r="AR240" s="11">
        <v>-11.3</v>
      </c>
      <c r="AS240" s="11">
        <v>0</v>
      </c>
      <c r="AT240" s="11">
        <v>-18.600000000000001</v>
      </c>
      <c r="AU240" s="11">
        <v>0.2</v>
      </c>
      <c r="AV240" s="11">
        <v>-18.471</v>
      </c>
      <c r="AW240" s="11">
        <v>-0.7</v>
      </c>
      <c r="AX240" s="11">
        <v>-21.5</v>
      </c>
      <c r="AY240" s="11">
        <v>-0.6</v>
      </c>
      <c r="AZ240" s="11">
        <v>-17.899999999999999</v>
      </c>
      <c r="BA240" s="11">
        <v>-0.01</v>
      </c>
    </row>
    <row r="241" spans="34:53" x14ac:dyDescent="0.25">
      <c r="AH241" s="11">
        <v>-2.9</v>
      </c>
      <c r="AI241" s="11">
        <v>1.2</v>
      </c>
      <c r="AJ241" s="11">
        <v>-2.7</v>
      </c>
      <c r="AK241" s="11">
        <v>1.1000000000000001</v>
      </c>
      <c r="AL241" s="11">
        <v>-5.4</v>
      </c>
      <c r="AM241" s="11">
        <v>0</v>
      </c>
      <c r="AN241" s="11">
        <v>4.8</v>
      </c>
      <c r="AO241" s="11">
        <v>1.7</v>
      </c>
      <c r="AP241" s="11">
        <v>-4</v>
      </c>
      <c r="AQ241" s="11">
        <v>-0.3</v>
      </c>
      <c r="AR241" s="11">
        <v>-3.6</v>
      </c>
      <c r="AS241" s="11">
        <v>-0.2</v>
      </c>
      <c r="AT241" s="11">
        <v>-3.6</v>
      </c>
      <c r="AU241" s="11">
        <v>0</v>
      </c>
      <c r="AV241" s="11">
        <v>-5.3739999999999997</v>
      </c>
      <c r="AW241" s="11">
        <v>-0.6</v>
      </c>
      <c r="AX241" s="11">
        <v>-8.6999999999999993</v>
      </c>
      <c r="AY241" s="11">
        <v>-0.6</v>
      </c>
      <c r="AZ241" s="11">
        <v>-6.3</v>
      </c>
      <c r="BA241" s="11">
        <v>-0.14000000000000001</v>
      </c>
    </row>
    <row r="242" spans="34:53" x14ac:dyDescent="0.25">
      <c r="AH242" s="11">
        <v>-2.9</v>
      </c>
      <c r="AI242" s="11">
        <v>1.2</v>
      </c>
      <c r="AJ242" s="11">
        <v>-2.7</v>
      </c>
      <c r="AK242" s="11">
        <v>1.3</v>
      </c>
      <c r="AL242" s="11">
        <v>-5.4</v>
      </c>
      <c r="AM242" s="11">
        <v>-0.4</v>
      </c>
      <c r="AN242" s="11">
        <v>4.8</v>
      </c>
      <c r="AO242" s="11">
        <v>0.5</v>
      </c>
      <c r="AP242" s="11">
        <v>-4</v>
      </c>
      <c r="AQ242" s="11">
        <v>-0.3</v>
      </c>
      <c r="AR242" s="11">
        <v>-3.6</v>
      </c>
      <c r="AS242" s="11">
        <v>-0.2</v>
      </c>
      <c r="AT242" s="11">
        <v>-3.6</v>
      </c>
      <c r="AU242" s="11">
        <v>0</v>
      </c>
      <c r="AV242" s="11">
        <v>-5.3739999999999997</v>
      </c>
      <c r="AW242" s="11">
        <v>-0.4</v>
      </c>
      <c r="AX242" s="11">
        <v>-8.6999999999999993</v>
      </c>
      <c r="AY242" s="11">
        <v>-0.9</v>
      </c>
      <c r="AZ242" s="11">
        <v>-6.3</v>
      </c>
      <c r="BA242" s="11">
        <v>-7.0000000000000007E-2</v>
      </c>
    </row>
    <row r="243" spans="34:53" x14ac:dyDescent="0.25">
      <c r="AH243" s="11">
        <v>-2.9</v>
      </c>
      <c r="AI243" s="11">
        <v>1.2</v>
      </c>
      <c r="AJ243" s="11">
        <v>-2.7</v>
      </c>
      <c r="AK243" s="11">
        <v>0.9</v>
      </c>
      <c r="AL243" s="11">
        <v>-5.4</v>
      </c>
      <c r="AM243" s="11">
        <v>-0.9</v>
      </c>
      <c r="AN243" s="11">
        <v>4.8</v>
      </c>
      <c r="AO243" s="11">
        <v>-0.5</v>
      </c>
      <c r="AP243" s="11">
        <v>-4</v>
      </c>
      <c r="AQ243" s="11">
        <v>-0.3</v>
      </c>
      <c r="AR243" s="11">
        <v>-3.6</v>
      </c>
      <c r="AS243" s="11">
        <v>-0.3</v>
      </c>
      <c r="AT243" s="11">
        <v>-3.6</v>
      </c>
      <c r="AU243" s="11">
        <v>0.2</v>
      </c>
      <c r="AV243" s="11">
        <v>-5.3739999999999997</v>
      </c>
      <c r="AW243" s="11">
        <v>-0.3</v>
      </c>
      <c r="AX243" s="11">
        <v>-8.6999999999999993</v>
      </c>
      <c r="AY243" s="11">
        <v>-0.8</v>
      </c>
      <c r="AZ243" s="11">
        <v>-6.3</v>
      </c>
      <c r="BA243" s="11">
        <v>-0.22</v>
      </c>
    </row>
    <row r="244" spans="34:53" x14ac:dyDescent="0.25">
      <c r="AH244" s="11">
        <v>-2.2999999999999998</v>
      </c>
      <c r="AI244" s="11">
        <v>1.3</v>
      </c>
      <c r="AJ244" s="11">
        <v>-1.6</v>
      </c>
      <c r="AK244" s="11">
        <v>1.2</v>
      </c>
      <c r="AL244" s="11">
        <v>-0.8</v>
      </c>
      <c r="AM244" s="11">
        <v>-1.2</v>
      </c>
      <c r="AN244" s="11">
        <v>6.4</v>
      </c>
      <c r="AO244" s="11">
        <v>0.2</v>
      </c>
      <c r="AP244" s="11">
        <v>-4.3</v>
      </c>
      <c r="AQ244" s="11">
        <v>-0.3</v>
      </c>
      <c r="AR244" s="11">
        <v>-1.9</v>
      </c>
      <c r="AS244" s="11">
        <v>-0.3</v>
      </c>
      <c r="AT244" s="11">
        <v>-4.3</v>
      </c>
      <c r="AU244" s="11">
        <v>0</v>
      </c>
      <c r="AV244" s="11">
        <v>-6.0960000000000001</v>
      </c>
      <c r="AW244" s="11">
        <v>-0.2</v>
      </c>
      <c r="AX244" s="11">
        <v>-8.8000000000000007</v>
      </c>
      <c r="AY244" s="11">
        <v>-0.6</v>
      </c>
      <c r="AZ244" s="11">
        <v>-6.8</v>
      </c>
      <c r="BA244" s="11">
        <v>-0.23</v>
      </c>
    </row>
    <row r="245" spans="34:53" x14ac:dyDescent="0.25">
      <c r="AH245" s="11">
        <v>-2.2999999999999998</v>
      </c>
      <c r="AI245" s="11">
        <v>1.3</v>
      </c>
      <c r="AJ245" s="11">
        <v>-1.6</v>
      </c>
      <c r="AK245" s="11">
        <v>1.4</v>
      </c>
      <c r="AL245" s="11">
        <v>-0.8</v>
      </c>
      <c r="AM245" s="11">
        <v>-0.7</v>
      </c>
      <c r="AN245" s="11">
        <v>6.4</v>
      </c>
      <c r="AO245" s="11">
        <v>-0.3</v>
      </c>
      <c r="AP245" s="11">
        <v>-4.3</v>
      </c>
      <c r="AQ245" s="11">
        <v>0.9</v>
      </c>
      <c r="AR245" s="11">
        <v>-1.9</v>
      </c>
      <c r="AS245" s="11">
        <v>1</v>
      </c>
      <c r="AT245" s="11">
        <v>-4.3</v>
      </c>
      <c r="AU245" s="11">
        <v>0.6</v>
      </c>
      <c r="AV245" s="11">
        <v>-6.0960000000000001</v>
      </c>
      <c r="AW245" s="11">
        <v>0.2</v>
      </c>
      <c r="AX245" s="11">
        <v>-8.8000000000000007</v>
      </c>
      <c r="AY245" s="11">
        <v>0.4</v>
      </c>
      <c r="AZ245" s="11">
        <v>-6.8</v>
      </c>
      <c r="BA245" s="11">
        <v>0.3</v>
      </c>
    </row>
    <row r="246" spans="34:53" x14ac:dyDescent="0.25">
      <c r="AH246" s="11">
        <v>-2.2999999999999998</v>
      </c>
      <c r="AI246" s="11">
        <v>1.3</v>
      </c>
      <c r="AJ246" s="11">
        <v>-1.6</v>
      </c>
      <c r="AK246" s="11">
        <v>1.4</v>
      </c>
      <c r="AL246" s="11">
        <v>-0.8</v>
      </c>
      <c r="AM246" s="11">
        <v>-0.5</v>
      </c>
      <c r="AN246" s="11">
        <v>6.4</v>
      </c>
      <c r="AO246" s="11">
        <v>-0.2</v>
      </c>
      <c r="AP246" s="11">
        <v>-4.3</v>
      </c>
      <c r="AQ246" s="11">
        <v>0.9</v>
      </c>
      <c r="AR246" s="11">
        <v>-1.9</v>
      </c>
      <c r="AS246" s="11">
        <v>1.3</v>
      </c>
      <c r="AT246" s="11">
        <v>-4.3</v>
      </c>
      <c r="AU246" s="11">
        <v>0.6</v>
      </c>
      <c r="AV246" s="11">
        <v>-6.0960000000000001</v>
      </c>
      <c r="AW246" s="11">
        <v>0.5</v>
      </c>
      <c r="AX246" s="11">
        <v>-8.8000000000000007</v>
      </c>
      <c r="AY246" s="11">
        <v>-0.1</v>
      </c>
      <c r="AZ246" s="11">
        <v>-6.8</v>
      </c>
      <c r="BA246" s="11">
        <v>0.48</v>
      </c>
    </row>
    <row r="247" spans="34:53" x14ac:dyDescent="0.25">
      <c r="AH247" s="11">
        <v>0.5</v>
      </c>
      <c r="AI247" s="11">
        <v>2</v>
      </c>
      <c r="AJ247" s="11">
        <v>-0.2</v>
      </c>
      <c r="AK247" s="11">
        <v>1.5</v>
      </c>
      <c r="AL247" s="11">
        <v>-1.8</v>
      </c>
      <c r="AM247" s="11">
        <v>-0.4</v>
      </c>
      <c r="AN247" s="11">
        <v>18.3</v>
      </c>
      <c r="AO247" s="11">
        <v>0.4</v>
      </c>
      <c r="AP247" s="11">
        <v>-0.9</v>
      </c>
      <c r="AQ247" s="11">
        <v>1.3</v>
      </c>
      <c r="AR247" s="11">
        <v>-3</v>
      </c>
      <c r="AS247" s="11">
        <v>1.7</v>
      </c>
      <c r="AT247" s="11">
        <v>1.7</v>
      </c>
      <c r="AU247" s="11">
        <v>1.1000000000000001</v>
      </c>
      <c r="AV247" s="11">
        <v>0.10199999999999999</v>
      </c>
      <c r="AW247" s="11">
        <v>0.7</v>
      </c>
      <c r="AX247" s="11">
        <v>-4.0999999999999996</v>
      </c>
      <c r="AY247" s="11">
        <v>1.2</v>
      </c>
      <c r="AZ247" s="11">
        <v>-5.3</v>
      </c>
      <c r="BA247" s="11">
        <v>0.45</v>
      </c>
    </row>
    <row r="248" spans="34:53" x14ac:dyDescent="0.25">
      <c r="AH248" s="11">
        <v>0.5</v>
      </c>
      <c r="AI248" s="11">
        <v>2</v>
      </c>
      <c r="AJ248" s="11">
        <v>-0.2</v>
      </c>
      <c r="AK248" s="11">
        <v>2.9</v>
      </c>
      <c r="AL248" s="11">
        <v>-1.8</v>
      </c>
      <c r="AM248" s="11">
        <v>-1.1000000000000001</v>
      </c>
      <c r="AN248" s="11">
        <v>18.3</v>
      </c>
      <c r="AO248" s="11">
        <v>0.9</v>
      </c>
      <c r="AP248" s="11">
        <v>-0.9</v>
      </c>
      <c r="AQ248" s="11">
        <v>1.6</v>
      </c>
      <c r="AR248" s="11">
        <v>-3</v>
      </c>
      <c r="AS248" s="11">
        <v>2</v>
      </c>
      <c r="AT248" s="11">
        <v>1.7</v>
      </c>
      <c r="AU248" s="11">
        <v>1.2</v>
      </c>
      <c r="AV248" s="11">
        <v>0.10199999999999999</v>
      </c>
      <c r="AW248" s="11">
        <v>1.2</v>
      </c>
      <c r="AX248" s="11">
        <v>-4.0999999999999996</v>
      </c>
      <c r="AY248" s="11">
        <v>2</v>
      </c>
      <c r="AZ248" s="11">
        <v>-5.3</v>
      </c>
      <c r="BA248" s="11">
        <v>0.55000000000000004</v>
      </c>
    </row>
  </sheetData>
  <conditionalFormatting sqref="E20">
    <cfRule type="cellIs" dxfId="117" priority="43" operator="equal">
      <formula>$AD20</formula>
    </cfRule>
    <cfRule type="cellIs" dxfId="116" priority="44" operator="equal">
      <formula>$AC20</formula>
    </cfRule>
  </conditionalFormatting>
  <conditionalFormatting sqref="W35">
    <cfRule type="cellIs" dxfId="115" priority="3" operator="equal">
      <formula>$AD32</formula>
    </cfRule>
    <cfRule type="cellIs" dxfId="114" priority="4" operator="equal">
      <formula>$AC32</formula>
    </cfRule>
  </conditionalFormatting>
  <conditionalFormatting sqref="E35">
    <cfRule type="cellIs" dxfId="113" priority="21" operator="equal">
      <formula>$AD32</formula>
    </cfRule>
    <cfRule type="cellIs" dxfId="112" priority="22" operator="equal">
      <formula>$AC32</formula>
    </cfRule>
  </conditionalFormatting>
  <conditionalFormatting sqref="G35">
    <cfRule type="cellIs" dxfId="111" priority="19" operator="equal">
      <formula>$AD32</formula>
    </cfRule>
    <cfRule type="cellIs" dxfId="110" priority="20" operator="equal">
      <formula>$AC32</formula>
    </cfRule>
  </conditionalFormatting>
  <conditionalFormatting sqref="I35">
    <cfRule type="cellIs" dxfId="109" priority="17" operator="equal">
      <formula>$AD32</formula>
    </cfRule>
    <cfRule type="cellIs" dxfId="108" priority="18" operator="equal">
      <formula>$AC32</formula>
    </cfRule>
  </conditionalFormatting>
  <conditionalFormatting sqref="K35">
    <cfRule type="cellIs" dxfId="107" priority="15" operator="equal">
      <formula>$AD32</formula>
    </cfRule>
    <cfRule type="cellIs" dxfId="106" priority="16" operator="equal">
      <formula>$AC32</formula>
    </cfRule>
  </conditionalFormatting>
  <conditionalFormatting sqref="M35">
    <cfRule type="cellIs" dxfId="105" priority="13" operator="equal">
      <formula>$AD32</formula>
    </cfRule>
    <cfRule type="cellIs" dxfId="104" priority="14" operator="equal">
      <formula>$AC32</formula>
    </cfRule>
  </conditionalFormatting>
  <conditionalFormatting sqref="O35">
    <cfRule type="cellIs" dxfId="103" priority="11" operator="equal">
      <formula>$AD32</formula>
    </cfRule>
    <cfRule type="cellIs" dxfId="102" priority="12" operator="equal">
      <formula>$AC32</formula>
    </cfRule>
  </conditionalFormatting>
  <conditionalFormatting sqref="Q35">
    <cfRule type="cellIs" dxfId="101" priority="9" operator="equal">
      <formula>$AD32</formula>
    </cfRule>
    <cfRule type="cellIs" dxfId="100" priority="10" operator="equal">
      <formula>$AC32</formula>
    </cfRule>
  </conditionalFormatting>
  <conditionalFormatting sqref="S35">
    <cfRule type="cellIs" dxfId="99" priority="7" operator="equal">
      <formula>$AD32</formula>
    </cfRule>
    <cfRule type="cellIs" dxfId="98" priority="8" operator="equal">
      <formula>$AC32</formula>
    </cfRule>
  </conditionalFormatting>
  <conditionalFormatting sqref="U35">
    <cfRule type="cellIs" dxfId="97" priority="5" operator="equal">
      <formula>$AD32</formula>
    </cfRule>
    <cfRule type="cellIs" dxfId="96" priority="6" operator="equal">
      <formula>$AC32</formula>
    </cfRule>
  </conditionalFormatting>
  <conditionalFormatting sqref="F20:W20">
    <cfRule type="cellIs" dxfId="95" priority="1" operator="equal">
      <formula>$AD20</formula>
    </cfRule>
    <cfRule type="cellIs" dxfId="94" priority="2" operator="equal">
      <formula>$AC20</formula>
    </cfRule>
  </conditionalFormatting>
  <pageMargins left="0.7" right="0.7" top="0.75" bottom="0.75" header="0.3" footer="0.3"/>
  <pageSetup paperSize="9" scale="4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D56"/>
  <sheetViews>
    <sheetView showGridLines="0" workbookViewId="0">
      <pane ySplit="1" topLeftCell="A26" activePane="bottomLeft" state="frozen"/>
      <selection pane="bottomLeft" activeCell="M32" sqref="M32"/>
    </sheetView>
  </sheetViews>
  <sheetFormatPr defaultRowHeight="15" x14ac:dyDescent="0.25"/>
  <cols>
    <col min="1" max="1" width="14.7109375" bestFit="1" customWidth="1"/>
    <col min="2" max="2" width="9.5703125" bestFit="1" customWidth="1"/>
    <col min="4" max="4" width="14.7109375" bestFit="1" customWidth="1"/>
    <col min="6" max="6" width="10.5703125" bestFit="1" customWidth="1"/>
    <col min="7" max="7" width="14.5703125" bestFit="1" customWidth="1"/>
    <col min="10" max="10" width="14.5703125" bestFit="1" customWidth="1"/>
    <col min="19" max="19" width="15.5703125" bestFit="1" customWidth="1"/>
    <col min="22" max="22" width="15.5703125" bestFit="1" customWidth="1"/>
    <col min="27" max="27" width="8.5703125" customWidth="1"/>
    <col min="35" max="35" width="14.7109375" bestFit="1" customWidth="1"/>
    <col min="36" max="36" width="9.5703125" bestFit="1" customWidth="1"/>
    <col min="38" max="38" width="14.7109375" bestFit="1" customWidth="1"/>
    <col min="40" max="40" width="10.5703125" bestFit="1" customWidth="1"/>
    <col min="41" max="41" width="14.5703125" bestFit="1" customWidth="1"/>
    <col min="44" max="44" width="14.5703125" bestFit="1" customWidth="1"/>
    <col min="53" max="53" width="15.5703125" bestFit="1" customWidth="1"/>
    <col min="56" max="56" width="15.5703125" bestFit="1" customWidth="1"/>
    <col min="61" max="61" width="8.5703125" customWidth="1"/>
  </cols>
  <sheetData>
    <row r="1" spans="1:26" x14ac:dyDescent="0.25">
      <c r="B1" t="s">
        <v>3</v>
      </c>
      <c r="E1" t="s">
        <v>1</v>
      </c>
      <c r="H1" t="s">
        <v>5</v>
      </c>
      <c r="K1" t="s">
        <v>4</v>
      </c>
      <c r="N1" t="s">
        <v>16</v>
      </c>
      <c r="Q1" t="s">
        <v>17</v>
      </c>
      <c r="T1" t="s">
        <v>18</v>
      </c>
      <c r="W1" t="s">
        <v>19</v>
      </c>
      <c r="Z1" t="s">
        <v>20</v>
      </c>
    </row>
    <row r="2" spans="1:26" x14ac:dyDescent="0.25">
      <c r="A2" t="s">
        <v>107</v>
      </c>
      <c r="B2">
        <f>_xll.BDP(A2,"PX LAST")</f>
        <v>-0.54100000000000004</v>
      </c>
      <c r="D2" t="s">
        <v>108</v>
      </c>
      <c r="E2">
        <f>_xll.BDP(D2,"PX LAST")</f>
        <v>0.63156999999999996</v>
      </c>
      <c r="G2" t="s">
        <v>109</v>
      </c>
      <c r="H2">
        <f>_xll.BDP(G2,"PX LAST")</f>
        <v>0.87280000000000002</v>
      </c>
      <c r="J2" t="s">
        <v>110</v>
      </c>
      <c r="K2">
        <f>_xll.BDP(J2,"PX LAST")</f>
        <v>-5.4539999999999998E-2</v>
      </c>
      <c r="M2" t="s">
        <v>459</v>
      </c>
      <c r="N2">
        <f>_xll.BDP(M2,"PX LAST")</f>
        <v>5.5E-2</v>
      </c>
      <c r="P2" t="s">
        <v>487</v>
      </c>
      <c r="Q2">
        <f>_xll.BDP(P2,"PX LAST")</f>
        <v>1</v>
      </c>
      <c r="S2" t="s">
        <v>111</v>
      </c>
      <c r="T2">
        <f>_xll.BDP(S2,"PX LAST")</f>
        <v>-0.54100000000000004</v>
      </c>
      <c r="V2" t="s">
        <v>111</v>
      </c>
      <c r="W2">
        <f>_xll.BDP(V2,"PX LAST")</f>
        <v>-0.54100000000000004</v>
      </c>
      <c r="Y2" t="s">
        <v>111</v>
      </c>
      <c r="Z2">
        <f>_xll.BDP(Y2,"PX LAST")</f>
        <v>-0.54100000000000004</v>
      </c>
    </row>
    <row r="3" spans="1:26" x14ac:dyDescent="0.25">
      <c r="A3" t="s">
        <v>84</v>
      </c>
      <c r="B3">
        <f ca="1">_xll.BDP(A3,"LAST TRADE")</f>
        <v>-0.30399999999999999</v>
      </c>
      <c r="D3" t="s">
        <v>21</v>
      </c>
      <c r="E3">
        <f ca="1">_xll.BDP(D3,"last trade")</f>
        <v>1.9875</v>
      </c>
      <c r="G3" t="s">
        <v>22</v>
      </c>
      <c r="H3">
        <f ca="1">_xll.BDP(G3,"LAST TRADE")</f>
        <v>1.653</v>
      </c>
      <c r="J3" t="s">
        <v>23</v>
      </c>
      <c r="K3">
        <f>_xll.BDP(J3,"LAST TRADE")</f>
        <v>-7.9000000000000001E-2</v>
      </c>
      <c r="M3" t="s">
        <v>24</v>
      </c>
      <c r="N3">
        <f>_xll.BDP(M3,"LAST TRADE")</f>
        <v>1.6319999999999999</v>
      </c>
      <c r="P3" t="s">
        <v>25</v>
      </c>
      <c r="Q3">
        <f ca="1">_xll.BDP(P3,"LAST TRADE")</f>
        <v>2.3130000000000002</v>
      </c>
      <c r="S3" t="s">
        <v>26</v>
      </c>
      <c r="T3">
        <f>_xll.BDP(S3,"PX LAST")</f>
        <v>-0.17199999999999999</v>
      </c>
      <c r="V3" t="s">
        <v>372</v>
      </c>
      <c r="W3">
        <f ca="1">_xll.BDP(V3,"LAST TRADE")</f>
        <v>-0.11899999999999999</v>
      </c>
      <c r="Y3" t="s">
        <v>373</v>
      </c>
      <c r="Z3">
        <f ca="1">_xll.BDP(Y3,"LAST TRADE")</f>
        <v>-0.126</v>
      </c>
    </row>
    <row r="4" spans="1:26" x14ac:dyDescent="0.25">
      <c r="A4" t="s">
        <v>85</v>
      </c>
      <c r="B4">
        <f ca="1">_xll.BDP(A4,"LAST TRADE")</f>
        <v>0.27</v>
      </c>
      <c r="D4" t="s">
        <v>482</v>
      </c>
      <c r="E4">
        <f ca="1">_xll.BDP(D4,"last trade")</f>
        <v>2.7427999999999999</v>
      </c>
      <c r="G4" t="s">
        <v>27</v>
      </c>
      <c r="H4">
        <f ca="1">_xll.BDP(G4,"LAST TRADE")</f>
        <v>1.7769999999999999</v>
      </c>
      <c r="J4" t="s">
        <v>28</v>
      </c>
      <c r="K4">
        <f>_xll.BDP(J4,"LAST TRADE")</f>
        <v>-5.1999999999999998E-2</v>
      </c>
      <c r="M4" t="s">
        <v>29</v>
      </c>
      <c r="N4">
        <f>_xll.BDP(M4,"LAST TRADE")</f>
        <v>2.38</v>
      </c>
      <c r="P4" t="s">
        <v>30</v>
      </c>
      <c r="Q4">
        <f ca="1">_xll.BDP(P4,"LAST TRADE")</f>
        <v>2.71</v>
      </c>
      <c r="S4" t="s">
        <v>31</v>
      </c>
      <c r="T4">
        <f ca="1">_xll.BDP(S4,"LAST TRADE")</f>
        <v>0.60099999999999998</v>
      </c>
      <c r="V4" t="s">
        <v>32</v>
      </c>
      <c r="W4">
        <f ca="1">_xll.BDP(V4,"LAST TRADE")</f>
        <v>0.53500000000000003</v>
      </c>
      <c r="Y4" t="s">
        <v>33</v>
      </c>
      <c r="Z4">
        <f ca="1">_xll.BDP(Y4,"LAST TRADE")</f>
        <v>0.40400000000000003</v>
      </c>
    </row>
    <row r="5" spans="1:26" x14ac:dyDescent="0.25">
      <c r="A5" t="s">
        <v>86</v>
      </c>
      <c r="B5">
        <f ca="1">_xll.BDP(A5,"LAST TRADE")</f>
        <v>0.497</v>
      </c>
      <c r="D5" t="s">
        <v>483</v>
      </c>
      <c r="E5">
        <f ca="1">_xll.BDP(D5,"last trade")</f>
        <v>2.9371</v>
      </c>
      <c r="G5" t="s">
        <v>34</v>
      </c>
      <c r="H5">
        <f ca="1">_xll.BDP(G5,"LAST TRADE")</f>
        <v>1.7849999999999999</v>
      </c>
      <c r="J5" t="s">
        <v>35</v>
      </c>
      <c r="K5">
        <f>_xll.BDP(J5,"LAST TRADE")</f>
        <v>-3.5999999999999997E-2</v>
      </c>
      <c r="M5" t="s">
        <v>36</v>
      </c>
      <c r="N5">
        <f>_xll.BDP(M5,"LAST TRADE")</f>
        <v>2.69</v>
      </c>
      <c r="P5" t="s">
        <v>37</v>
      </c>
      <c r="Q5">
        <f ca="1">_xll.BDP(P5,"LAST TRADE")</f>
        <v>2.7770000000000001</v>
      </c>
      <c r="S5" t="s">
        <v>38</v>
      </c>
      <c r="T5">
        <f ca="1">_xll.BDP(S5,"LAST TRADE")</f>
        <v>1.2190000000000001</v>
      </c>
      <c r="V5" t="s">
        <v>39</v>
      </c>
      <c r="W5">
        <f ca="1">_xll.BDP(V5,"LAST TRADE")</f>
        <v>0.92200000000000004</v>
      </c>
      <c r="Y5" t="s">
        <v>40</v>
      </c>
      <c r="Z5">
        <f ca="1">_xll.BDP(Y5,"LAST TRADE")</f>
        <v>0.82299999999999995</v>
      </c>
    </row>
    <row r="6" spans="1:26" x14ac:dyDescent="0.25">
      <c r="A6" t="s">
        <v>87</v>
      </c>
      <c r="B6">
        <f ca="1">_xll.BDP(A6,"LAST TRADE")</f>
        <v>0.628</v>
      </c>
      <c r="D6" t="s">
        <v>484</v>
      </c>
      <c r="E6" s="67">
        <f ca="1">+E5/2+E7/2</f>
        <v>2.9716</v>
      </c>
      <c r="G6" t="s">
        <v>41</v>
      </c>
      <c r="H6">
        <f ca="1">_xll.BDP(G6,"LAST TRADE")</f>
        <v>1.86</v>
      </c>
      <c r="J6" t="s">
        <v>42</v>
      </c>
      <c r="K6">
        <f>_xll.BDP(J6,"LAST TRADE")</f>
        <v>-1.6E-2</v>
      </c>
      <c r="M6" t="s">
        <v>43</v>
      </c>
      <c r="N6">
        <f>_xll.BDP(M6,"LAST TRADE")</f>
        <v>2.9</v>
      </c>
      <c r="P6" t="s">
        <v>44</v>
      </c>
      <c r="Q6">
        <f ca="1">_xll.BDP(P6,"LAST TRADE")</f>
        <v>2.827</v>
      </c>
      <c r="S6" t="s">
        <v>45</v>
      </c>
      <c r="T6">
        <f ca="1">_xll.BDP(S6,"LAST TRADE")</f>
        <v>1.615</v>
      </c>
      <c r="V6" t="s">
        <v>46</v>
      </c>
      <c r="W6">
        <f ca="1">_xll.BDP(V6,"LAST TRADE")</f>
        <v>1.08</v>
      </c>
      <c r="Y6" t="s">
        <v>47</v>
      </c>
      <c r="Z6">
        <f ca="1">_xll.BDP(Y6,"LAST TRADE")</f>
        <v>1.0089999999999999</v>
      </c>
    </row>
    <row r="7" spans="1:26" x14ac:dyDescent="0.25">
      <c r="A7" t="s">
        <v>88</v>
      </c>
      <c r="B7">
        <f ca="1">_xll.BDP(A7,"LAST TRADE")</f>
        <v>0.73699999999999999</v>
      </c>
      <c r="D7" t="s">
        <v>485</v>
      </c>
      <c r="E7">
        <f ca="1">_xll.BDP(D7,"last trade")</f>
        <v>3.0061</v>
      </c>
      <c r="G7" t="s">
        <v>48</v>
      </c>
      <c r="H7">
        <f ca="1">_xll.BDP(G7,"LAST TRADE")</f>
        <v>1.7949999999999999</v>
      </c>
      <c r="J7" t="s">
        <v>49</v>
      </c>
      <c r="K7">
        <f>_xll.BDP(J7,"LAST TRADE")</f>
        <v>2.1999999999999999E-2</v>
      </c>
      <c r="M7" t="s">
        <v>50</v>
      </c>
      <c r="N7">
        <f>_xll.BDP(M7,"LAST TRADE")</f>
        <v>2.9180000000000001</v>
      </c>
      <c r="P7" t="s">
        <v>51</v>
      </c>
      <c r="Q7">
        <f ca="1">_xll.BDP(P7,"LAST TRADE")</f>
        <v>2.8570000000000002</v>
      </c>
      <c r="S7" t="s">
        <v>52</v>
      </c>
      <c r="T7">
        <f ca="1">_xll.BDP(S7,"LAST TRADE")</f>
        <v>1.8640000000000001</v>
      </c>
      <c r="V7" t="s">
        <v>53</v>
      </c>
      <c r="W7">
        <f ca="1">_xll.BDP(V7,"LAST TRADE")</f>
        <v>1.2789999999999999</v>
      </c>
      <c r="Y7" t="s">
        <v>54</v>
      </c>
      <c r="Z7">
        <f ca="1">_xll.BDP(Y7,"LAST TRADE")</f>
        <v>1.266</v>
      </c>
    </row>
    <row r="8" spans="1:26" x14ac:dyDescent="0.25">
      <c r="A8" t="s">
        <v>89</v>
      </c>
      <c r="B8">
        <f ca="1">_xll.BDP(A8,"LAST TRADE")</f>
        <v>0.80300000000000005</v>
      </c>
      <c r="D8" t="s">
        <v>486</v>
      </c>
      <c r="E8">
        <f ca="1">_xll.BDP(D8,"last trade")</f>
        <v>3.0057999999999998</v>
      </c>
      <c r="G8" t="s">
        <v>55</v>
      </c>
      <c r="H8">
        <f ca="1">_xll.BDP(G8,"LAST TRADE")</f>
        <v>1.9</v>
      </c>
      <c r="J8" t="s">
        <v>56</v>
      </c>
      <c r="K8">
        <f>_xll.BDP(J8,"LAST TRADE")</f>
        <v>0.17799999999999999</v>
      </c>
      <c r="M8" t="s">
        <v>57</v>
      </c>
      <c r="N8">
        <f>_xll.BDP(M8,"LAST TRADE")</f>
        <v>3.0350000000000001</v>
      </c>
      <c r="P8" t="s">
        <v>58</v>
      </c>
      <c r="Q8">
        <f ca="1">_xll.BDP(P8,"LAST TRADE")</f>
        <v>2.8279999999999998</v>
      </c>
      <c r="S8" t="s">
        <v>59</v>
      </c>
      <c r="T8">
        <f ca="1">_xll.BDP(S8,"LAST TRADE")</f>
        <v>2.2170000000000001</v>
      </c>
      <c r="V8" t="s">
        <v>60</v>
      </c>
      <c r="W8">
        <f ca="1">_xll.BDP(V8,"LAST TRADE")</f>
        <v>1.482</v>
      </c>
      <c r="Y8" t="s">
        <v>61</v>
      </c>
      <c r="Z8">
        <f ca="1">_xll.BDP(Y8,"LAST TRADE")</f>
        <v>1.528</v>
      </c>
    </row>
    <row r="9" spans="1:26" x14ac:dyDescent="0.25">
      <c r="A9" t="s">
        <v>90</v>
      </c>
      <c r="B9">
        <f ca="1">_xll.BDP(A9,"LAST TRADE")</f>
        <v>0.95299999999999996</v>
      </c>
      <c r="D9" t="s">
        <v>480</v>
      </c>
      <c r="E9">
        <f ca="1">_xll.BDP(D9,"last trade")</f>
        <v>2.9336000000000002</v>
      </c>
      <c r="G9" t="s">
        <v>62</v>
      </c>
      <c r="H9">
        <f ca="1">_xll.BDP(G9,"LAST TRADE")</f>
        <v>1.998</v>
      </c>
      <c r="J9" t="s">
        <v>63</v>
      </c>
      <c r="K9">
        <f>_xll.BDP(J9,"LAST TRADE")</f>
        <v>0.25</v>
      </c>
      <c r="M9" t="s">
        <v>64</v>
      </c>
      <c r="N9">
        <f>_xll.BDP(M9,"LAST TRADE")</f>
        <v>3.13</v>
      </c>
      <c r="P9" t="s">
        <v>65</v>
      </c>
      <c r="Q9">
        <f ca="1">_xll.BDP(P9,"LAST TRADE")</f>
        <v>2.911</v>
      </c>
      <c r="S9" t="s">
        <v>66</v>
      </c>
      <c r="T9">
        <f ca="1">_xll.BDP(S9,"LAST TRADE")</f>
        <v>2.6440000000000001</v>
      </c>
      <c r="V9" t="s">
        <v>67</v>
      </c>
      <c r="W9">
        <f ca="1">_xll.BDP(V9,"LAST TRADE")</f>
        <v>1.9179999999999999</v>
      </c>
      <c r="Y9" t="s">
        <v>68</v>
      </c>
      <c r="Z9">
        <f ca="1">_xll.BDP(Y9,"LAST TRADE")</f>
        <v>1.97</v>
      </c>
    </row>
    <row r="10" spans="1:26" x14ac:dyDescent="0.25">
      <c r="A10" t="s">
        <v>91</v>
      </c>
      <c r="B10">
        <f ca="1">_xll.BDP(A10,"LAST TRADE")</f>
        <v>1.05</v>
      </c>
      <c r="D10" t="s">
        <v>481</v>
      </c>
      <c r="E10">
        <f ca="1">_xll.BDP(D10,"last trade")</f>
        <v>2.9504999999999999</v>
      </c>
      <c r="G10" t="s">
        <v>69</v>
      </c>
      <c r="H10">
        <f ca="1">_xll.BDP(G10,"LAST TRADE")</f>
        <v>2.0830000000000002</v>
      </c>
      <c r="J10" t="s">
        <v>70</v>
      </c>
      <c r="K10">
        <f>_xll.BDP(J10,"LAST TRADE")</f>
        <v>1.0209999999999999</v>
      </c>
      <c r="M10" t="s">
        <v>71</v>
      </c>
      <c r="N10">
        <f>_xll.BDP(M10,"LAST TRADE")</f>
        <v>3.3149999999999999</v>
      </c>
      <c r="P10" t="s">
        <v>72</v>
      </c>
      <c r="Q10">
        <f ca="1">_xll.BDP(P10,"LAST TRADE")</f>
        <v>2.851</v>
      </c>
      <c r="S10" t="s">
        <v>73</v>
      </c>
      <c r="T10">
        <f ca="1">_xll.BDP(S10,"LAST TRADE")</f>
        <v>3.101</v>
      </c>
      <c r="V10" t="s">
        <v>74</v>
      </c>
      <c r="W10">
        <f ca="1">_xll.BDP(V10,"LAST TRADE")</f>
        <v>2.3679999999999999</v>
      </c>
      <c r="Y10" t="s">
        <v>75</v>
      </c>
      <c r="Z10">
        <f ca="1">_xll.BDP(Y10,"LAST TRADE")</f>
        <v>2.46</v>
      </c>
    </row>
    <row r="12" spans="1:26" x14ac:dyDescent="0.25">
      <c r="A12" t="s">
        <v>105</v>
      </c>
    </row>
    <row r="13" spans="1:26" x14ac:dyDescent="0.25">
      <c r="A13">
        <v>2</v>
      </c>
      <c r="B13" s="7">
        <f ca="1">+B4-B$2</f>
        <v>0.81100000000000005</v>
      </c>
      <c r="D13">
        <v>2</v>
      </c>
      <c r="E13" s="7">
        <f t="shared" ref="E13:E19" ca="1" si="0">+E4-E$2</f>
        <v>2.1112299999999999</v>
      </c>
      <c r="G13">
        <v>2</v>
      </c>
      <c r="H13" s="7">
        <f ca="1">+H4-H$2</f>
        <v>0.90419999999999989</v>
      </c>
      <c r="J13">
        <v>2</v>
      </c>
      <c r="K13" s="7">
        <f>+K4-K$2</f>
        <v>2.5400000000000006E-3</v>
      </c>
      <c r="M13">
        <v>2</v>
      </c>
      <c r="N13" s="7">
        <f>+N4-N$2</f>
        <v>2.3249999999999997</v>
      </c>
      <c r="P13">
        <v>2</v>
      </c>
      <c r="Q13" s="7">
        <f ca="1">+Q4-Q$2</f>
        <v>1.71</v>
      </c>
      <c r="S13">
        <v>2</v>
      </c>
      <c r="T13">
        <f ca="1">+T4-T$2</f>
        <v>1.1419999999999999</v>
      </c>
      <c r="V13">
        <v>2</v>
      </c>
      <c r="W13">
        <f ca="1">+W4-W$2</f>
        <v>1.0760000000000001</v>
      </c>
      <c r="Y13">
        <v>2</v>
      </c>
      <c r="Z13">
        <f ca="1">+Z4-Z$2</f>
        <v>0.94500000000000006</v>
      </c>
    </row>
    <row r="14" spans="1:26" x14ac:dyDescent="0.25">
      <c r="A14">
        <v>3</v>
      </c>
      <c r="B14" s="7">
        <f t="shared" ref="B14:B19" ca="1" si="1">+B5-B$2</f>
        <v>1.038</v>
      </c>
      <c r="D14">
        <v>3</v>
      </c>
      <c r="E14" s="7">
        <f t="shared" ca="1" si="0"/>
        <v>2.3055300000000001</v>
      </c>
      <c r="G14">
        <v>3</v>
      </c>
      <c r="H14" s="7">
        <f t="shared" ref="H14:H19" ca="1" si="2">+H5-H$2</f>
        <v>0.9121999999999999</v>
      </c>
      <c r="J14">
        <v>3</v>
      </c>
      <c r="K14" s="7">
        <f t="shared" ref="K14:K19" si="3">+K5-K$2</f>
        <v>1.8540000000000001E-2</v>
      </c>
      <c r="M14">
        <v>3</v>
      </c>
      <c r="N14" s="7">
        <f t="shared" ref="N14:N19" si="4">+N5-N$2</f>
        <v>2.6349999999999998</v>
      </c>
      <c r="P14">
        <v>3</v>
      </c>
      <c r="Q14" s="7">
        <f t="shared" ref="Q14:Q19" ca="1" si="5">+Q5-Q$2</f>
        <v>1.7770000000000001</v>
      </c>
      <c r="S14">
        <v>3</v>
      </c>
      <c r="T14">
        <f t="shared" ref="T14:T19" ca="1" si="6">+T5-T$2</f>
        <v>1.7600000000000002</v>
      </c>
      <c r="V14">
        <v>3</v>
      </c>
      <c r="W14">
        <f t="shared" ref="W14:W19" ca="1" si="7">+W5-W$2</f>
        <v>1.4630000000000001</v>
      </c>
      <c r="Y14">
        <v>3</v>
      </c>
      <c r="Z14">
        <f t="shared" ref="Z14:Z19" ca="1" si="8">+Z5-Z$2</f>
        <v>1.3639999999999999</v>
      </c>
    </row>
    <row r="15" spans="1:26" x14ac:dyDescent="0.25">
      <c r="A15">
        <v>4</v>
      </c>
      <c r="B15" s="7">
        <f t="shared" ca="1" si="1"/>
        <v>1.169</v>
      </c>
      <c r="D15">
        <v>4</v>
      </c>
      <c r="E15" s="7">
        <f t="shared" ca="1" si="0"/>
        <v>2.3400300000000001</v>
      </c>
      <c r="G15">
        <v>4</v>
      </c>
      <c r="H15" s="7">
        <f t="shared" ca="1" si="2"/>
        <v>0.98720000000000008</v>
      </c>
      <c r="J15">
        <v>4</v>
      </c>
      <c r="K15" s="7">
        <f t="shared" si="3"/>
        <v>3.8539999999999998E-2</v>
      </c>
      <c r="M15">
        <v>4</v>
      </c>
      <c r="N15" s="7">
        <f t="shared" si="4"/>
        <v>2.8449999999999998</v>
      </c>
      <c r="P15">
        <v>4</v>
      </c>
      <c r="Q15" s="7">
        <f t="shared" ca="1" si="5"/>
        <v>1.827</v>
      </c>
      <c r="S15">
        <v>4</v>
      </c>
      <c r="T15">
        <f t="shared" ca="1" si="6"/>
        <v>2.1560000000000001</v>
      </c>
      <c r="V15">
        <v>4</v>
      </c>
      <c r="W15">
        <f t="shared" ca="1" si="7"/>
        <v>1.621</v>
      </c>
      <c r="Y15">
        <v>4</v>
      </c>
      <c r="Z15">
        <f t="shared" ca="1" si="8"/>
        <v>1.5499999999999998</v>
      </c>
    </row>
    <row r="16" spans="1:26" x14ac:dyDescent="0.25">
      <c r="A16">
        <v>5</v>
      </c>
      <c r="B16" s="10">
        <f t="shared" ca="1" si="1"/>
        <v>1.278</v>
      </c>
      <c r="D16">
        <v>5</v>
      </c>
      <c r="E16" s="10">
        <f t="shared" ca="1" si="0"/>
        <v>2.37453</v>
      </c>
      <c r="G16">
        <v>5</v>
      </c>
      <c r="H16" s="10">
        <f t="shared" ca="1" si="2"/>
        <v>0.92219999999999991</v>
      </c>
      <c r="J16">
        <v>5</v>
      </c>
      <c r="K16" s="10">
        <f t="shared" si="3"/>
        <v>7.6539999999999997E-2</v>
      </c>
      <c r="M16">
        <v>5</v>
      </c>
      <c r="N16" s="10">
        <f t="shared" si="4"/>
        <v>2.863</v>
      </c>
      <c r="P16">
        <v>5</v>
      </c>
      <c r="Q16" s="10">
        <f t="shared" ca="1" si="5"/>
        <v>1.8570000000000002</v>
      </c>
      <c r="S16">
        <v>5</v>
      </c>
      <c r="T16">
        <f t="shared" ca="1" si="6"/>
        <v>2.4050000000000002</v>
      </c>
      <c r="V16">
        <v>5</v>
      </c>
      <c r="W16">
        <f t="shared" ca="1" si="7"/>
        <v>1.8199999999999998</v>
      </c>
      <c r="Y16">
        <v>5</v>
      </c>
      <c r="Z16">
        <f t="shared" ca="1" si="8"/>
        <v>1.8069999999999999</v>
      </c>
    </row>
    <row r="17" spans="1:30" x14ac:dyDescent="0.25">
      <c r="A17">
        <v>7</v>
      </c>
      <c r="B17" s="7">
        <f t="shared" ca="1" si="1"/>
        <v>1.3440000000000001</v>
      </c>
      <c r="D17">
        <v>7</v>
      </c>
      <c r="E17" s="7">
        <f t="shared" ca="1" si="0"/>
        <v>2.3742299999999998</v>
      </c>
      <c r="G17">
        <v>7</v>
      </c>
      <c r="H17" s="7">
        <f t="shared" ca="1" si="2"/>
        <v>1.0271999999999999</v>
      </c>
      <c r="J17">
        <v>7</v>
      </c>
      <c r="K17" s="7">
        <f t="shared" si="3"/>
        <v>0.23254</v>
      </c>
      <c r="M17">
        <v>7</v>
      </c>
      <c r="N17" s="7">
        <f t="shared" si="4"/>
        <v>2.98</v>
      </c>
      <c r="P17">
        <v>7</v>
      </c>
      <c r="Q17" s="7">
        <f t="shared" ca="1" si="5"/>
        <v>1.8279999999999998</v>
      </c>
      <c r="S17">
        <v>7</v>
      </c>
      <c r="T17">
        <f t="shared" ca="1" si="6"/>
        <v>2.758</v>
      </c>
      <c r="V17">
        <v>7</v>
      </c>
      <c r="W17">
        <f t="shared" ca="1" si="7"/>
        <v>2.0230000000000001</v>
      </c>
      <c r="Y17">
        <v>7</v>
      </c>
      <c r="Z17">
        <f t="shared" ca="1" si="8"/>
        <v>2.069</v>
      </c>
    </row>
    <row r="18" spans="1:30" x14ac:dyDescent="0.25">
      <c r="A18">
        <v>10</v>
      </c>
      <c r="B18" s="10">
        <f t="shared" ca="1" si="1"/>
        <v>1.494</v>
      </c>
      <c r="D18">
        <v>10</v>
      </c>
      <c r="E18" s="10">
        <f t="shared" ca="1" si="0"/>
        <v>2.3020300000000002</v>
      </c>
      <c r="G18">
        <v>10</v>
      </c>
      <c r="H18" s="10">
        <f t="shared" ca="1" si="2"/>
        <v>1.1252</v>
      </c>
      <c r="J18">
        <v>10</v>
      </c>
      <c r="K18" s="10">
        <f t="shared" si="3"/>
        <v>0.30453999999999998</v>
      </c>
      <c r="M18">
        <v>10</v>
      </c>
      <c r="N18" s="10">
        <f t="shared" si="4"/>
        <v>3.0749999999999997</v>
      </c>
      <c r="P18">
        <v>10</v>
      </c>
      <c r="Q18" s="10">
        <f t="shared" ca="1" si="5"/>
        <v>1.911</v>
      </c>
      <c r="S18">
        <v>10</v>
      </c>
      <c r="T18">
        <f t="shared" ca="1" si="6"/>
        <v>3.1850000000000001</v>
      </c>
      <c r="V18">
        <v>10</v>
      </c>
      <c r="W18">
        <f t="shared" ca="1" si="7"/>
        <v>2.4590000000000001</v>
      </c>
      <c r="Y18">
        <v>10</v>
      </c>
      <c r="Z18">
        <f t="shared" ca="1" si="8"/>
        <v>2.5110000000000001</v>
      </c>
    </row>
    <row r="19" spans="1:30" x14ac:dyDescent="0.25">
      <c r="A19">
        <v>30</v>
      </c>
      <c r="B19" s="7">
        <f t="shared" ca="1" si="1"/>
        <v>1.5910000000000002</v>
      </c>
      <c r="D19">
        <v>30</v>
      </c>
      <c r="E19" s="7">
        <f t="shared" ca="1" si="0"/>
        <v>2.3189299999999999</v>
      </c>
      <c r="G19">
        <v>30</v>
      </c>
      <c r="H19" s="7">
        <f t="shared" ca="1" si="2"/>
        <v>1.2102000000000002</v>
      </c>
      <c r="J19">
        <v>30</v>
      </c>
      <c r="K19" s="7">
        <f t="shared" si="3"/>
        <v>1.0755399999999999</v>
      </c>
      <c r="M19">
        <v>15</v>
      </c>
      <c r="N19" s="7">
        <f t="shared" si="4"/>
        <v>3.26</v>
      </c>
      <c r="P19">
        <v>30</v>
      </c>
      <c r="Q19" s="7">
        <f t="shared" ca="1" si="5"/>
        <v>1.851</v>
      </c>
      <c r="S19">
        <v>30</v>
      </c>
      <c r="T19">
        <f t="shared" ca="1" si="6"/>
        <v>3.6419999999999999</v>
      </c>
      <c r="V19">
        <v>30</v>
      </c>
      <c r="W19">
        <f t="shared" ca="1" si="7"/>
        <v>2.9089999999999998</v>
      </c>
      <c r="Y19">
        <v>30</v>
      </c>
      <c r="Z19">
        <f t="shared" ca="1" si="8"/>
        <v>3.0009999999999999</v>
      </c>
    </row>
    <row r="20" spans="1:30" x14ac:dyDescent="0.25">
      <c r="B20" s="7"/>
      <c r="E20" s="7"/>
      <c r="H20" s="7"/>
      <c r="K20" s="7"/>
      <c r="N20" s="7"/>
      <c r="Q20" s="7"/>
      <c r="AD20" t="s">
        <v>76</v>
      </c>
    </row>
    <row r="21" spans="1:30" x14ac:dyDescent="0.25">
      <c r="A21" t="s">
        <v>106</v>
      </c>
      <c r="B21" s="7"/>
      <c r="E21" s="7"/>
      <c r="H21" s="7"/>
      <c r="K21" s="7"/>
      <c r="N21" s="7"/>
      <c r="Q21" s="7"/>
    </row>
    <row r="22" spans="1:30" x14ac:dyDescent="0.25">
      <c r="A22">
        <v>2</v>
      </c>
      <c r="B22" s="7">
        <f ca="1">(B4-B3)*$AD22</f>
        <v>0.8610000000000001</v>
      </c>
      <c r="D22">
        <v>2</v>
      </c>
      <c r="E22" s="7">
        <f ca="1">(E4-E3)*$AD22</f>
        <v>1.1329499999999997</v>
      </c>
      <c r="G22">
        <v>2</v>
      </c>
      <c r="H22" s="7">
        <f t="shared" ref="H22:H25" ca="1" si="9">(H4-H3)*$AD22</f>
        <v>0.18599999999999983</v>
      </c>
      <c r="J22">
        <v>2</v>
      </c>
      <c r="K22" s="7">
        <f>(K4-K3)*$AD22</f>
        <v>4.0500000000000008E-2</v>
      </c>
      <c r="M22">
        <v>2</v>
      </c>
      <c r="N22" s="7">
        <f>(N4-N3)*$AD22</f>
        <v>1.1219999999999999</v>
      </c>
      <c r="P22">
        <v>2</v>
      </c>
      <c r="Q22" s="7">
        <f ca="1">(Q4-Q3)*$AD22</f>
        <v>0.5954999999999997</v>
      </c>
      <c r="S22">
        <v>2</v>
      </c>
      <c r="T22">
        <f ca="1">(T4-T3)*$AD22</f>
        <v>1.1595</v>
      </c>
      <c r="V22">
        <v>2</v>
      </c>
      <c r="W22">
        <f ca="1">(W4-W3)*$AD22</f>
        <v>0.98100000000000009</v>
      </c>
      <c r="Y22">
        <v>2</v>
      </c>
      <c r="Z22">
        <f ca="1">(Z4-Z3)*$AD22</f>
        <v>0.79500000000000004</v>
      </c>
      <c r="AD22">
        <v>1.5</v>
      </c>
    </row>
    <row r="23" spans="1:30" x14ac:dyDescent="0.25">
      <c r="A23">
        <v>3</v>
      </c>
      <c r="B23" s="7">
        <f ca="1">(B5-B4)*$AD23</f>
        <v>0.54479999999999995</v>
      </c>
      <c r="D23">
        <v>3</v>
      </c>
      <c r="E23" s="7">
        <f ca="1">(E5-E4)*$AD23</f>
        <v>0.46632000000000029</v>
      </c>
      <c r="G23">
        <v>3</v>
      </c>
      <c r="H23" s="7">
        <f t="shared" ca="1" si="9"/>
        <v>1.9200000000000016E-2</v>
      </c>
      <c r="J23">
        <v>3</v>
      </c>
      <c r="K23" s="7">
        <f>(K5-K4)*$AD23</f>
        <v>3.8399999999999997E-2</v>
      </c>
      <c r="M23">
        <v>3</v>
      </c>
      <c r="N23" s="7">
        <f>(N5-N4)*$AD23</f>
        <v>0.74400000000000011</v>
      </c>
      <c r="P23">
        <v>3</v>
      </c>
      <c r="Q23" s="7">
        <f ca="1">(Q5-Q4)*$AD23</f>
        <v>0.16080000000000041</v>
      </c>
      <c r="S23">
        <v>3</v>
      </c>
      <c r="T23">
        <f ca="1">(T5-T4)*$AD23</f>
        <v>1.4832000000000003</v>
      </c>
      <c r="V23">
        <v>3</v>
      </c>
      <c r="W23">
        <f ca="1">(W5-W4)*$AD23</f>
        <v>0.92879999999999996</v>
      </c>
      <c r="Y23">
        <v>3</v>
      </c>
      <c r="Z23">
        <f ca="1">(Z5-Z4)*$AD23</f>
        <v>1.0055999999999998</v>
      </c>
      <c r="AD23">
        <v>2.4</v>
      </c>
    </row>
    <row r="24" spans="1:30" x14ac:dyDescent="0.25">
      <c r="A24">
        <v>4</v>
      </c>
      <c r="B24" s="7">
        <f ca="1">(B6-B5)*$AD24</f>
        <v>0.43230000000000002</v>
      </c>
      <c r="D24">
        <v>4</v>
      </c>
      <c r="E24" s="7">
        <f ca="1">(E6-E5)*$AD24</f>
        <v>0.11384999999999991</v>
      </c>
      <c r="G24">
        <v>4</v>
      </c>
      <c r="H24" s="7">
        <f t="shared" ca="1" si="9"/>
        <v>0.24750000000000058</v>
      </c>
      <c r="J24">
        <v>4</v>
      </c>
      <c r="K24" s="7">
        <f>(K6-K5)*$AD24</f>
        <v>6.5999999999999989E-2</v>
      </c>
      <c r="M24">
        <v>4</v>
      </c>
      <c r="N24" s="7">
        <f>(N6-N5)*$AD24</f>
        <v>0.69299999999999984</v>
      </c>
      <c r="P24">
        <v>4</v>
      </c>
      <c r="Q24" s="7">
        <f ca="1">(Q6-Q5)*$AD24</f>
        <v>0.1649999999999994</v>
      </c>
      <c r="S24">
        <v>4</v>
      </c>
      <c r="T24">
        <f ca="1">(T6-T5)*$AD24</f>
        <v>1.3067999999999995</v>
      </c>
      <c r="V24">
        <v>4</v>
      </c>
      <c r="W24">
        <f ca="1">(W6-W5)*$AD24</f>
        <v>0.52140000000000009</v>
      </c>
      <c r="Y24">
        <v>4</v>
      </c>
      <c r="Z24">
        <f ca="1">(Z6-Z5)*$AD24</f>
        <v>0.61379999999999979</v>
      </c>
      <c r="AD24">
        <v>3.3</v>
      </c>
    </row>
    <row r="25" spans="1:30" x14ac:dyDescent="0.25">
      <c r="A25">
        <v>5</v>
      </c>
      <c r="B25" s="10">
        <f ca="1">(B7-B6)*$AD25</f>
        <v>0.45779999999999998</v>
      </c>
      <c r="D25">
        <v>5</v>
      </c>
      <c r="E25" s="10">
        <f ca="1">(E7-E6)*$AD25</f>
        <v>0.14489999999999989</v>
      </c>
      <c r="G25">
        <v>5</v>
      </c>
      <c r="H25" s="10">
        <f t="shared" ca="1" si="9"/>
        <v>-0.27300000000000074</v>
      </c>
      <c r="J25">
        <v>5</v>
      </c>
      <c r="K25" s="10">
        <f>(K7-K6)*$AD25</f>
        <v>0.15959999999999999</v>
      </c>
      <c r="M25">
        <v>5</v>
      </c>
      <c r="N25" s="10">
        <f>(N7-N6)*$AD25</f>
        <v>7.5600000000001E-2</v>
      </c>
      <c r="P25">
        <v>5</v>
      </c>
      <c r="Q25" s="10">
        <f ca="1">(Q7-Q6)*$AD25</f>
        <v>0.12600000000000106</v>
      </c>
      <c r="S25">
        <v>5</v>
      </c>
      <c r="T25">
        <f ca="1">(T7-T6)*$AD25</f>
        <v>1.0458000000000005</v>
      </c>
      <c r="V25">
        <v>5</v>
      </c>
      <c r="W25">
        <f ca="1">(W7-W6)*$AD25</f>
        <v>0.83579999999999943</v>
      </c>
      <c r="Y25">
        <v>5</v>
      </c>
      <c r="Z25">
        <f ca="1">(Z7-Z6)*$AD25</f>
        <v>1.0794000000000006</v>
      </c>
      <c r="AD25">
        <v>4.2</v>
      </c>
    </row>
    <row r="26" spans="1:30" x14ac:dyDescent="0.25">
      <c r="A26">
        <v>7</v>
      </c>
      <c r="B26" s="7">
        <f ca="1">(B8-B7)*$AD26/2</f>
        <v>0.17160000000000017</v>
      </c>
      <c r="D26">
        <v>7</v>
      </c>
      <c r="E26" s="7">
        <f ca="1">(E8-E7)*$AD26/2</f>
        <v>-7.8000000000049145E-4</v>
      </c>
      <c r="G26">
        <v>7</v>
      </c>
      <c r="H26" s="7">
        <f ca="1">(H8-H7)*$AD26/2</f>
        <v>0.27299999999999996</v>
      </c>
      <c r="J26">
        <v>7</v>
      </c>
      <c r="K26" s="7">
        <f>(K8-K7)*$AD26/2</f>
        <v>0.40560000000000002</v>
      </c>
      <c r="M26">
        <v>7</v>
      </c>
      <c r="N26" s="7">
        <f>(N8-N7)*$AD26/2</f>
        <v>0.30419999999999997</v>
      </c>
      <c r="P26">
        <v>7</v>
      </c>
      <c r="Q26" s="7">
        <f ca="1">(Q8-Q7)*$AD26/2</f>
        <v>-7.5400000000000938E-2</v>
      </c>
      <c r="S26">
        <v>7</v>
      </c>
      <c r="T26">
        <f ca="1">(T8-T7)*$AD26/2</f>
        <v>0.91779999999999995</v>
      </c>
      <c r="V26">
        <v>7</v>
      </c>
      <c r="W26">
        <f ca="1">(W8-W7)*$AD26/2</f>
        <v>0.52780000000000016</v>
      </c>
      <c r="Y26">
        <v>7</v>
      </c>
      <c r="Z26">
        <f ca="1">(Z8-Z7)*$AD26/2</f>
        <v>0.68120000000000003</v>
      </c>
      <c r="AD26">
        <v>5.2</v>
      </c>
    </row>
    <row r="27" spans="1:30" x14ac:dyDescent="0.25">
      <c r="A27">
        <v>10</v>
      </c>
      <c r="B27" s="10">
        <f ca="1">(B9-B8)*$AD27/3</f>
        <v>0.37499999999999978</v>
      </c>
      <c r="D27">
        <v>10</v>
      </c>
      <c r="E27" s="10">
        <f ca="1">(E9-E8)*$AD27/3</f>
        <v>-0.18049999999999899</v>
      </c>
      <c r="G27">
        <v>10</v>
      </c>
      <c r="H27" s="10">
        <f ca="1">(H9-H8)*$AD27/3</f>
        <v>0.24500000000000022</v>
      </c>
      <c r="J27">
        <v>10</v>
      </c>
      <c r="K27" s="10">
        <f>(K9-K8)*$AD27/3</f>
        <v>0.18000000000000002</v>
      </c>
      <c r="M27">
        <v>10</v>
      </c>
      <c r="N27" s="10">
        <f>(N9-N8)*$AD27/3</f>
        <v>0.23749999999999938</v>
      </c>
      <c r="P27">
        <v>10</v>
      </c>
      <c r="Q27" s="10">
        <f ca="1">(Q9-Q8)*$AD27/3</f>
        <v>0.20750000000000046</v>
      </c>
      <c r="S27">
        <v>10</v>
      </c>
      <c r="T27">
        <f ca="1">(T9-T8)*$AD27/3</f>
        <v>1.0675000000000001</v>
      </c>
      <c r="V27">
        <v>10</v>
      </c>
      <c r="W27">
        <f ca="1">(W9-W8)*$AD27/3</f>
        <v>1.0899999999999999</v>
      </c>
      <c r="Y27">
        <v>10</v>
      </c>
      <c r="Z27">
        <f ca="1">(Z9-Z8)*$AD27/3</f>
        <v>1.1049999999999998</v>
      </c>
      <c r="AD27">
        <v>7.5</v>
      </c>
    </row>
    <row r="28" spans="1:30" x14ac:dyDescent="0.25">
      <c r="A28">
        <v>30</v>
      </c>
      <c r="B28" s="7">
        <f ca="1">(B10-B9)*$AD28/20</f>
        <v>8.2450000000000065E-2</v>
      </c>
      <c r="D28">
        <v>30</v>
      </c>
      <c r="E28" s="7">
        <f ca="1">(E10-E9)*$AD28/20</f>
        <v>1.4364999999999739E-2</v>
      </c>
      <c r="G28">
        <v>30</v>
      </c>
      <c r="H28" s="7">
        <f ca="1">(H10-H9)*$AD28/20</f>
        <v>7.2250000000000161E-2</v>
      </c>
      <c r="J28">
        <v>30</v>
      </c>
      <c r="K28" s="7">
        <f>(K10-K9)*$AD28/20</f>
        <v>0.65534999999999999</v>
      </c>
      <c r="M28">
        <v>15</v>
      </c>
      <c r="N28" s="7">
        <f>(N10-N9)*$AD28/2/5</f>
        <v>0.31450000000000011</v>
      </c>
      <c r="P28">
        <v>30</v>
      </c>
      <c r="Q28" s="7">
        <f ca="1">(Q10-Q9)*$AD28/20</f>
        <v>-5.1000000000000045E-2</v>
      </c>
      <c r="S28">
        <v>30</v>
      </c>
      <c r="T28">
        <f ca="1">(T10-T9)*$AD28/20</f>
        <v>0.38844999999999985</v>
      </c>
      <c r="V28">
        <v>30</v>
      </c>
      <c r="W28">
        <f ca="1">(W10-W9)*$AD28/20</f>
        <v>0.38249999999999995</v>
      </c>
      <c r="Y28">
        <v>30</v>
      </c>
      <c r="Z28">
        <f ca="1">(Z10-Z9)*$AD28/20</f>
        <v>0.41649999999999998</v>
      </c>
      <c r="AD28">
        <v>17</v>
      </c>
    </row>
    <row r="29" spans="1:30" x14ac:dyDescent="0.25">
      <c r="B29" s="7"/>
      <c r="E29" s="7"/>
      <c r="H29" s="7"/>
      <c r="K29" s="7"/>
      <c r="N29" s="7"/>
      <c r="Q29" s="7"/>
    </row>
    <row r="30" spans="1:30" x14ac:dyDescent="0.25">
      <c r="A30" t="s">
        <v>77</v>
      </c>
      <c r="B30" s="7"/>
      <c r="E30" s="7"/>
      <c r="H30" s="7"/>
      <c r="K30" s="7"/>
      <c r="N30" s="7"/>
      <c r="Q30" s="7"/>
    </row>
    <row r="31" spans="1:30" x14ac:dyDescent="0.25">
      <c r="A31">
        <v>2</v>
      </c>
      <c r="B31" s="7">
        <f t="shared" ref="B31:B37" ca="1" si="10">(B13+B22)</f>
        <v>1.6720000000000002</v>
      </c>
      <c r="C31" t="str">
        <f ca="1">+IF(B31=MIN(B$31:B$36),"sell",IF(B31=MAX(B$31:B$36),"buy",""))</f>
        <v/>
      </c>
      <c r="E31" s="7">
        <f t="shared" ref="E31:E37" ca="1" si="11">(E13+E22)</f>
        <v>3.2441799999999996</v>
      </c>
      <c r="F31" t="str">
        <f ca="1">+IF(E31=MIN(E$31:E$36),"sell",IF(E31=MAX(E$31:E$36),"buy",""))</f>
        <v>buy</v>
      </c>
      <c r="H31" s="7">
        <f t="shared" ref="H31:H37" ca="1" si="12">(H13+H22)</f>
        <v>1.0901999999999998</v>
      </c>
      <c r="I31" t="str">
        <f ca="1">+IF(H31=MIN(H$31:H$36),"sell",IF(H31=MAX(H$31:H$36),"buy",""))</f>
        <v/>
      </c>
      <c r="K31" s="7">
        <f t="shared" ref="K31:K37" si="13">(K13+K22)</f>
        <v>4.3040000000000009E-2</v>
      </c>
      <c r="L31" t="str">
        <f>+IF(K31=MIN(K$31:K$36),"sell",IF(K31=MAX(K$31:K$36),"buy",""))</f>
        <v>sell</v>
      </c>
      <c r="N31" s="7">
        <f t="shared" ref="N31:N37" si="14">(N13+N22)</f>
        <v>3.4469999999999996</v>
      </c>
      <c r="O31" t="str">
        <f>+IF(N31=MIN(N$31:N$36),"sell",IF(N31=MAX(N$31:N$36),"buy",""))</f>
        <v/>
      </c>
      <c r="Q31" s="7">
        <f t="shared" ref="Q31:Q37" ca="1" si="15">(Q13+Q22)</f>
        <v>2.3054999999999994</v>
      </c>
      <c r="R31" t="str">
        <f ca="1">+IF(Q31=MIN(Q$31:Q$36),"sell",IF(Q31=MAX(Q$31:Q$36),"buy",""))</f>
        <v>buy</v>
      </c>
      <c r="T31">
        <f t="shared" ref="T31:T37" ca="1" si="16">(T13+T22)</f>
        <v>2.3014999999999999</v>
      </c>
      <c r="U31" t="str">
        <f ca="1">+IF(Q31=MIN(Q$31:Q$36),"sell",IF(Q31=MAX(Q$31:Q$36),"buy",""))</f>
        <v>buy</v>
      </c>
      <c r="W31">
        <f t="shared" ref="W31:W37" ca="1" si="17">(W13+W22)</f>
        <v>2.0570000000000004</v>
      </c>
      <c r="X31" t="str">
        <f ca="1">+IF(T31=MIN(T$31:T$36),"sell",IF(T31=MAX(T$31:T$36),"buy",""))</f>
        <v>sell</v>
      </c>
      <c r="Z31">
        <f t="shared" ref="Z31:Z37" ca="1" si="18">(Z13+Z22)</f>
        <v>1.7400000000000002</v>
      </c>
      <c r="AA31" t="str">
        <f ca="1">+IF(Z31=MIN(Z$31:Z$36),"sell",IF(Z31=MAX(Z$31:Z$36),"buy",""))</f>
        <v>sell</v>
      </c>
    </row>
    <row r="32" spans="1:30" x14ac:dyDescent="0.25">
      <c r="A32">
        <v>3</v>
      </c>
      <c r="B32" s="7">
        <f t="shared" ca="1" si="10"/>
        <v>1.5828</v>
      </c>
      <c r="C32" t="str">
        <f t="shared" ref="C32:C37" ca="1" si="19">+IF(B32=MIN(B$31:B$36),"sell",IF(B32=MAX(B$31:B$36),"buy",""))</f>
        <v/>
      </c>
      <c r="E32" s="7">
        <f t="shared" ca="1" si="11"/>
        <v>2.7718500000000006</v>
      </c>
      <c r="F32" t="str">
        <f t="shared" ref="F32:F37" ca="1" si="20">+IF(E32=MIN(E$31:E$36),"sell",IF(E32=MAX(E$31:E$36),"buy",""))</f>
        <v/>
      </c>
      <c r="H32" s="7">
        <f t="shared" ca="1" si="12"/>
        <v>0.93139999999999989</v>
      </c>
      <c r="I32" t="str">
        <f t="shared" ref="I32:I37" ca="1" si="21">+IF(H32=MIN(H$31:H$36),"sell",IF(H32=MAX(H$31:H$36),"buy",""))</f>
        <v/>
      </c>
      <c r="K32" s="7">
        <f t="shared" si="13"/>
        <v>5.6939999999999998E-2</v>
      </c>
      <c r="L32" t="str">
        <f t="shared" ref="L32:L37" si="22">+IF(K32=MIN(K$31:K$36),"sell",IF(K32=MAX(K$31:K$36),"buy",""))</f>
        <v/>
      </c>
      <c r="N32" s="7">
        <f t="shared" si="14"/>
        <v>3.379</v>
      </c>
      <c r="O32" t="str">
        <f t="shared" ref="O32:O37" si="23">+IF(N32=MIN(N$31:N$36),"sell",IF(N32=MAX(N$31:N$36),"buy",""))</f>
        <v/>
      </c>
      <c r="Q32" s="7">
        <f t="shared" ca="1" si="15"/>
        <v>1.9378000000000006</v>
      </c>
      <c r="R32" t="str">
        <f t="shared" ref="R32:R37" ca="1" si="24">+IF(Q32=MIN(Q$31:Q$36),"sell",IF(Q32=MAX(Q$31:Q$36),"buy",""))</f>
        <v/>
      </c>
      <c r="T32">
        <f t="shared" ca="1" si="16"/>
        <v>3.2432000000000007</v>
      </c>
      <c r="U32" t="str">
        <f t="shared" ref="U32:U37" ca="1" si="25">+IF(Q32=MIN(Q$31:Q$36),"sell",IF(Q32=MAX(Q$31:Q$36),"buy",""))</f>
        <v/>
      </c>
      <c r="W32">
        <f t="shared" ca="1" si="17"/>
        <v>2.3917999999999999</v>
      </c>
      <c r="X32" t="str">
        <f t="shared" ref="X32:X37" ca="1" si="26">+IF(T32=MIN(T$31:T$36),"sell",IF(T32=MAX(T$31:T$36),"buy",""))</f>
        <v/>
      </c>
      <c r="Z32">
        <f t="shared" ca="1" si="18"/>
        <v>2.3695999999999997</v>
      </c>
      <c r="AA32" t="str">
        <f t="shared" ref="AA32:AA37" ca="1" si="27">+IF(Z32=MIN(Z$31:Z$36),"sell",IF(Z32=MAX(Z$31:Z$36),"buy",""))</f>
        <v/>
      </c>
    </row>
    <row r="33" spans="1:27" x14ac:dyDescent="0.25">
      <c r="A33">
        <v>4</v>
      </c>
      <c r="B33" s="7">
        <f t="shared" ca="1" si="10"/>
        <v>1.6013000000000002</v>
      </c>
      <c r="C33" t="str">
        <f t="shared" ca="1" si="19"/>
        <v/>
      </c>
      <c r="E33" s="7">
        <f t="shared" ca="1" si="11"/>
        <v>2.4538799999999998</v>
      </c>
      <c r="F33" t="str">
        <f t="shared" ca="1" si="20"/>
        <v/>
      </c>
      <c r="H33" s="7">
        <f t="shared" ca="1" si="12"/>
        <v>1.2347000000000006</v>
      </c>
      <c r="I33" t="str">
        <f ca="1">+IF(H33=MIN(H$31:H$36),"sell",IF(H33=MAX(H$31:H$36),"buy",""))</f>
        <v/>
      </c>
      <c r="K33" s="7">
        <f t="shared" si="13"/>
        <v>0.10453999999999999</v>
      </c>
      <c r="L33" t="str">
        <f t="shared" si="22"/>
        <v/>
      </c>
      <c r="N33" s="7">
        <f t="shared" si="14"/>
        <v>3.5379999999999994</v>
      </c>
      <c r="O33" t="str">
        <f t="shared" si="23"/>
        <v>buy</v>
      </c>
      <c r="Q33" s="7">
        <f t="shared" ca="1" si="15"/>
        <v>1.9919999999999993</v>
      </c>
      <c r="R33" t="str">
        <f t="shared" ca="1" si="24"/>
        <v/>
      </c>
      <c r="T33">
        <f t="shared" ca="1" si="16"/>
        <v>3.4627999999999997</v>
      </c>
      <c r="U33" t="str">
        <f t="shared" ca="1" si="25"/>
        <v/>
      </c>
      <c r="W33">
        <f t="shared" ca="1" si="17"/>
        <v>2.1424000000000003</v>
      </c>
      <c r="X33" t="str">
        <f t="shared" ca="1" si="26"/>
        <v/>
      </c>
      <c r="Z33">
        <f t="shared" ca="1" si="18"/>
        <v>2.1637999999999997</v>
      </c>
      <c r="AA33" t="str">
        <f t="shared" ca="1" si="27"/>
        <v/>
      </c>
    </row>
    <row r="34" spans="1:27" x14ac:dyDescent="0.25">
      <c r="A34">
        <v>5</v>
      </c>
      <c r="B34" s="10">
        <f t="shared" ca="1" si="10"/>
        <v>1.7358</v>
      </c>
      <c r="C34" t="str">
        <f t="shared" ca="1" si="19"/>
        <v/>
      </c>
      <c r="E34" s="10">
        <f t="shared" ca="1" si="11"/>
        <v>2.5194299999999998</v>
      </c>
      <c r="F34" t="str">
        <f t="shared" ca="1" si="20"/>
        <v/>
      </c>
      <c r="H34" s="10">
        <f t="shared" ca="1" si="12"/>
        <v>0.64919999999999911</v>
      </c>
      <c r="I34" t="str">
        <f t="shared" ca="1" si="21"/>
        <v>sell</v>
      </c>
      <c r="K34" s="10">
        <f t="shared" si="13"/>
        <v>0.23613999999999999</v>
      </c>
      <c r="L34" t="str">
        <f t="shared" si="22"/>
        <v/>
      </c>
      <c r="N34" s="10">
        <f t="shared" si="14"/>
        <v>2.938600000000001</v>
      </c>
      <c r="O34" t="str">
        <f t="shared" si="23"/>
        <v>sell</v>
      </c>
      <c r="Q34" s="10">
        <f t="shared" ca="1" si="15"/>
        <v>1.9830000000000012</v>
      </c>
      <c r="R34" t="str">
        <f t="shared" ca="1" si="24"/>
        <v/>
      </c>
      <c r="T34">
        <f t="shared" ca="1" si="16"/>
        <v>3.450800000000001</v>
      </c>
      <c r="U34" t="str">
        <f t="shared" ca="1" si="25"/>
        <v/>
      </c>
      <c r="W34">
        <f t="shared" ca="1" si="17"/>
        <v>2.6557999999999993</v>
      </c>
      <c r="X34" t="str">
        <f t="shared" ca="1" si="26"/>
        <v/>
      </c>
      <c r="Z34">
        <f t="shared" ca="1" si="18"/>
        <v>2.8864000000000005</v>
      </c>
      <c r="AA34" t="str">
        <f t="shared" ca="1" si="27"/>
        <v/>
      </c>
    </row>
    <row r="35" spans="1:27" x14ac:dyDescent="0.25">
      <c r="A35">
        <v>7</v>
      </c>
      <c r="B35" s="7">
        <f t="shared" ca="1" si="10"/>
        <v>1.5156000000000003</v>
      </c>
      <c r="C35" t="str">
        <f t="shared" ca="1" si="19"/>
        <v>sell</v>
      </c>
      <c r="E35" s="7">
        <f t="shared" ca="1" si="11"/>
        <v>2.3734499999999992</v>
      </c>
      <c r="F35" t="str">
        <f t="shared" ca="1" si="20"/>
        <v/>
      </c>
      <c r="H35" s="7">
        <f t="shared" ca="1" si="12"/>
        <v>1.3001999999999998</v>
      </c>
      <c r="I35" t="str">
        <f t="shared" ca="1" si="21"/>
        <v/>
      </c>
      <c r="K35" s="7">
        <f t="shared" si="13"/>
        <v>0.63814000000000004</v>
      </c>
      <c r="L35" t="str">
        <f t="shared" si="22"/>
        <v>buy</v>
      </c>
      <c r="N35" s="7">
        <f t="shared" si="14"/>
        <v>3.2841999999999998</v>
      </c>
      <c r="O35" t="str">
        <f t="shared" si="23"/>
        <v/>
      </c>
      <c r="Q35" s="7">
        <f t="shared" ca="1" si="15"/>
        <v>1.7525999999999988</v>
      </c>
      <c r="R35" t="str">
        <f t="shared" ca="1" si="24"/>
        <v>sell</v>
      </c>
      <c r="T35">
        <f t="shared" ca="1" si="16"/>
        <v>3.6757999999999997</v>
      </c>
      <c r="U35" t="str">
        <f t="shared" ca="1" si="25"/>
        <v>sell</v>
      </c>
      <c r="W35">
        <f t="shared" ca="1" si="17"/>
        <v>2.5508000000000002</v>
      </c>
      <c r="X35" t="str">
        <f t="shared" ca="1" si="26"/>
        <v/>
      </c>
      <c r="Z35">
        <f t="shared" ca="1" si="18"/>
        <v>2.7502</v>
      </c>
      <c r="AA35" t="str">
        <f t="shared" ca="1" si="27"/>
        <v/>
      </c>
    </row>
    <row r="36" spans="1:27" x14ac:dyDescent="0.25">
      <c r="A36">
        <v>10</v>
      </c>
      <c r="B36" s="10">
        <f t="shared" ca="1" si="10"/>
        <v>1.8689999999999998</v>
      </c>
      <c r="C36" t="str">
        <f t="shared" ca="1" si="19"/>
        <v>buy</v>
      </c>
      <c r="E36" s="10">
        <f t="shared" ca="1" si="11"/>
        <v>2.1215300000000012</v>
      </c>
      <c r="F36" t="str">
        <f t="shared" ca="1" si="20"/>
        <v>sell</v>
      </c>
      <c r="H36" s="10">
        <f t="shared" ca="1" si="12"/>
        <v>1.3702000000000001</v>
      </c>
      <c r="I36" t="str">
        <f t="shared" ca="1" si="21"/>
        <v>buy</v>
      </c>
      <c r="K36" s="10">
        <f t="shared" si="13"/>
        <v>0.48453999999999997</v>
      </c>
      <c r="L36" t="str">
        <f t="shared" si="22"/>
        <v/>
      </c>
      <c r="N36" s="10">
        <f t="shared" si="14"/>
        <v>3.3124999999999991</v>
      </c>
      <c r="O36" t="str">
        <f t="shared" si="23"/>
        <v/>
      </c>
      <c r="Q36" s="10">
        <f t="shared" ca="1" si="15"/>
        <v>2.1185000000000005</v>
      </c>
      <c r="R36" t="str">
        <f t="shared" ca="1" si="24"/>
        <v/>
      </c>
      <c r="T36">
        <f t="shared" ca="1" si="16"/>
        <v>4.2525000000000004</v>
      </c>
      <c r="U36" t="str">
        <f t="shared" ca="1" si="25"/>
        <v/>
      </c>
      <c r="W36">
        <f t="shared" ca="1" si="17"/>
        <v>3.5489999999999999</v>
      </c>
      <c r="X36" t="str">
        <f t="shared" ca="1" si="26"/>
        <v>buy</v>
      </c>
      <c r="Z36">
        <f t="shared" ca="1" si="18"/>
        <v>3.6159999999999997</v>
      </c>
      <c r="AA36" t="str">
        <f t="shared" ca="1" si="27"/>
        <v>buy</v>
      </c>
    </row>
    <row r="37" spans="1:27" x14ac:dyDescent="0.25">
      <c r="A37">
        <v>30</v>
      </c>
      <c r="B37" s="7">
        <f t="shared" ca="1" si="10"/>
        <v>1.6734500000000003</v>
      </c>
      <c r="C37" t="str">
        <f t="shared" ca="1" si="19"/>
        <v/>
      </c>
      <c r="E37" s="7">
        <f t="shared" ca="1" si="11"/>
        <v>2.3332949999999997</v>
      </c>
      <c r="F37" t="str">
        <f t="shared" ca="1" si="20"/>
        <v/>
      </c>
      <c r="H37" s="7">
        <f t="shared" ca="1" si="12"/>
        <v>1.2824500000000003</v>
      </c>
      <c r="I37" t="str">
        <f t="shared" ca="1" si="21"/>
        <v/>
      </c>
      <c r="K37" s="7">
        <f t="shared" si="13"/>
        <v>1.73089</v>
      </c>
      <c r="L37" t="str">
        <f t="shared" si="22"/>
        <v/>
      </c>
      <c r="N37" s="7">
        <f t="shared" si="14"/>
        <v>3.5745</v>
      </c>
      <c r="O37" t="str">
        <f t="shared" si="23"/>
        <v/>
      </c>
      <c r="Q37" s="7">
        <f t="shared" ca="1" si="15"/>
        <v>1.7999999999999998</v>
      </c>
      <c r="R37" t="str">
        <f t="shared" ca="1" si="24"/>
        <v/>
      </c>
      <c r="T37">
        <f t="shared" ca="1" si="16"/>
        <v>4.0304500000000001</v>
      </c>
      <c r="U37" t="str">
        <f t="shared" ca="1" si="25"/>
        <v/>
      </c>
      <c r="W37">
        <f t="shared" ca="1" si="17"/>
        <v>3.2914999999999996</v>
      </c>
      <c r="X37" t="str">
        <f t="shared" ca="1" si="26"/>
        <v/>
      </c>
      <c r="Z37">
        <f t="shared" ca="1" si="18"/>
        <v>3.4175</v>
      </c>
      <c r="AA37" t="str">
        <f t="shared" ca="1" si="27"/>
        <v/>
      </c>
    </row>
    <row r="39" spans="1:27" x14ac:dyDescent="0.25">
      <c r="A39" t="s">
        <v>78</v>
      </c>
    </row>
    <row r="40" spans="1:27" x14ac:dyDescent="0.25">
      <c r="A40">
        <v>2</v>
      </c>
      <c r="B40">
        <f t="shared" ref="B40:B46" ca="1" si="28">+B31*AD$27/AD22</f>
        <v>8.3600000000000012</v>
      </c>
      <c r="C40" t="str">
        <f t="shared" ref="C40:C46" ca="1" si="29">+IF(B40=MIN(B$40:B$45),"sell",IF(B40=MAX(B$40:B$45),"buy",""))</f>
        <v>buy</v>
      </c>
      <c r="E40">
        <f t="shared" ref="E40:E46" ca="1" si="30">+E31*AD$27/AD22</f>
        <v>16.220899999999997</v>
      </c>
      <c r="F40" t="str">
        <f ca="1">+IF(E40=MIN(E$40:E$45),"sell",IF(E40=MAX(E$40:E$45),"buy",""))</f>
        <v>buy</v>
      </c>
      <c r="H40">
        <f t="shared" ref="H40:H46" ca="1" si="31">+H31*AD$27/AD22</f>
        <v>5.4509999999999996</v>
      </c>
      <c r="I40" t="str">
        <f ca="1">+IF(H40=MIN(H$40:H$45),"sell",IF(H40=MAX(H$40:H$45),"buy",""))</f>
        <v>buy</v>
      </c>
      <c r="K40">
        <f t="shared" ref="K40:K46" si="32">+K31*AD$27/AD22</f>
        <v>0.21520000000000006</v>
      </c>
      <c r="L40" t="str">
        <f>+IF(K40=MIN(K$40:K$45),"sell",IF(K40=MAX(K$40:K$45),"buy",""))</f>
        <v/>
      </c>
      <c r="N40">
        <f t="shared" ref="N40:N45" si="33">+N31*AD$27/AD22</f>
        <v>17.234999999999996</v>
      </c>
      <c r="O40" t="str">
        <f>+IF(N40=MIN(N$40:N$45),"sell",IF(N40=MAX(N$40:N$45),"buy",""))</f>
        <v>buy</v>
      </c>
      <c r="Q40">
        <f t="shared" ref="Q40:Q46" ca="1" si="34">+Q31*AD$27/AD22</f>
        <v>11.527499999999996</v>
      </c>
      <c r="R40" t="str">
        <f ca="1">+IF(Q40=MIN(Q$40:Q$45),"sell",IF(Q40=MAX(Q$40:Q$45),"buy",""))</f>
        <v>buy</v>
      </c>
      <c r="T40">
        <f ca="1">+T31*AD$27/AD22</f>
        <v>11.5075</v>
      </c>
      <c r="U40" t="str">
        <f ca="1">+IF(T40=MIN(T$40:T$45),"sell",IF(T40=MAX(T$40:T$45),"buy",""))</f>
        <v>buy</v>
      </c>
      <c r="W40">
        <f t="shared" ref="W40:W46" ca="1" si="35">+W31*AD$27/AD22</f>
        <v>10.285000000000002</v>
      </c>
      <c r="X40" t="str">
        <f ca="1">+IF(T40=MIN(T$40:T$45),"sell",IF(T40=MAX(T$40:T$45),"buy",""))</f>
        <v>buy</v>
      </c>
      <c r="Z40">
        <f t="shared" ref="Z40:Z46" ca="1" si="36">+Z31*AD$27/AD22</f>
        <v>8.7000000000000011</v>
      </c>
      <c r="AA40" t="str">
        <f ca="1">+IF(Z40=MIN(Z$40:Z$45),"sell",IF(Z40=MAX(Z$40:Z$45),"buy",""))</f>
        <v>buy</v>
      </c>
    </row>
    <row r="41" spans="1:27" x14ac:dyDescent="0.25">
      <c r="A41">
        <v>3</v>
      </c>
      <c r="B41">
        <f t="shared" ca="1" si="28"/>
        <v>4.94625</v>
      </c>
      <c r="C41" t="str">
        <f t="shared" ca="1" si="29"/>
        <v/>
      </c>
      <c r="E41">
        <f t="shared" ca="1" si="30"/>
        <v>8.6620312500000018</v>
      </c>
      <c r="F41" t="str">
        <f t="shared" ref="F41:F46" ca="1" si="37">+IF(E41=MIN(E$40:E$45),"sell",IF(E41=MAX(E$40:E$45),"buy",""))</f>
        <v/>
      </c>
      <c r="H41">
        <f t="shared" ca="1" si="31"/>
        <v>2.9106249999999996</v>
      </c>
      <c r="I41" t="str">
        <f t="shared" ref="I41:I46" ca="1" si="38">+IF(H41=MIN(H$40:H$45),"sell",IF(H41=MAX(H$40:H$45),"buy",""))</f>
        <v/>
      </c>
      <c r="K41">
        <f t="shared" si="32"/>
        <v>0.1779375</v>
      </c>
      <c r="L41" t="str">
        <f t="shared" ref="L41:L46" si="39">+IF(K41=MIN(K$40:K$45),"sell",IF(K41=MAX(K$40:K$45),"buy",""))</f>
        <v>sell</v>
      </c>
      <c r="N41">
        <f t="shared" si="33"/>
        <v>10.559375000000001</v>
      </c>
      <c r="O41" t="str">
        <f t="shared" ref="O41:O46" si="40">+IF(N41=MIN(N$40:N$45),"sell",IF(N41=MAX(N$40:N$45),"buy",""))</f>
        <v/>
      </c>
      <c r="Q41">
        <f t="shared" ca="1" si="34"/>
        <v>6.0556250000000027</v>
      </c>
      <c r="R41" t="str">
        <f t="shared" ref="R41:R46" ca="1" si="41">+IF(Q41=MIN(Q$40:Q$45),"sell",IF(Q41=MAX(Q$40:Q$45),"buy",""))</f>
        <v/>
      </c>
      <c r="T41">
        <f ca="1">+T32*AD$27/AD23</f>
        <v>10.135000000000003</v>
      </c>
      <c r="U41" t="str">
        <f t="shared" ref="U41:U46" ca="1" si="42">+IF(T41=MIN(T$40:T$45),"sell",IF(T41=MAX(T$40:T$45),"buy",""))</f>
        <v/>
      </c>
      <c r="W41">
        <f t="shared" ca="1" si="35"/>
        <v>7.4743749999999993</v>
      </c>
      <c r="X41" t="str">
        <f t="shared" ref="X41:X46" ca="1" si="43">+IF(T41=MIN(T$40:T$45),"sell",IF(T41=MAX(T$40:T$45),"buy",""))</f>
        <v/>
      </c>
      <c r="Z41">
        <f t="shared" ca="1" si="36"/>
        <v>7.4049999999999994</v>
      </c>
      <c r="AA41" t="str">
        <f t="shared" ref="AA41:AA46" ca="1" si="44">+IF(Z41=MIN(Z$40:Z$45),"sell",IF(Z41=MAX(Z$40:Z$45),"buy",""))</f>
        <v/>
      </c>
    </row>
    <row r="42" spans="1:27" x14ac:dyDescent="0.25">
      <c r="A42">
        <v>4</v>
      </c>
      <c r="B42">
        <f t="shared" ca="1" si="28"/>
        <v>3.6393181818181821</v>
      </c>
      <c r="C42" t="str">
        <f t="shared" ca="1" si="29"/>
        <v/>
      </c>
      <c r="E42">
        <f t="shared" ca="1" si="30"/>
        <v>5.577</v>
      </c>
      <c r="F42" t="str">
        <f t="shared" ca="1" si="37"/>
        <v/>
      </c>
      <c r="H42">
        <f t="shared" ca="1" si="31"/>
        <v>2.806136363636365</v>
      </c>
      <c r="I42" t="str">
        <f t="shared" ca="1" si="38"/>
        <v/>
      </c>
      <c r="K42">
        <f t="shared" si="32"/>
        <v>0.23759090909090907</v>
      </c>
      <c r="L42" t="str">
        <f t="shared" si="39"/>
        <v/>
      </c>
      <c r="N42">
        <f t="shared" si="33"/>
        <v>8.040909090909091</v>
      </c>
      <c r="O42" t="str">
        <f t="shared" si="40"/>
        <v/>
      </c>
      <c r="Q42">
        <f t="shared" ca="1" si="34"/>
        <v>4.5272727272727256</v>
      </c>
      <c r="R42" t="str">
        <f t="shared" ca="1" si="41"/>
        <v/>
      </c>
      <c r="T42">
        <f t="shared" ref="T42:T46" ca="1" si="45">+T33*AD$27/AD24</f>
        <v>7.8699999999999992</v>
      </c>
      <c r="U42" t="str">
        <f t="shared" ca="1" si="42"/>
        <v/>
      </c>
      <c r="W42">
        <f t="shared" ca="1" si="35"/>
        <v>4.86909090909091</v>
      </c>
      <c r="X42" t="str">
        <f t="shared" ca="1" si="43"/>
        <v/>
      </c>
      <c r="Z42">
        <f t="shared" ca="1" si="36"/>
        <v>4.9177272727272721</v>
      </c>
      <c r="AA42" t="str">
        <f t="shared" ca="1" si="44"/>
        <v/>
      </c>
    </row>
    <row r="43" spans="1:27" x14ac:dyDescent="0.25">
      <c r="A43">
        <v>5</v>
      </c>
      <c r="B43">
        <f t="shared" ca="1" si="28"/>
        <v>3.0996428571428569</v>
      </c>
      <c r="C43" t="str">
        <f t="shared" ca="1" si="29"/>
        <v/>
      </c>
      <c r="E43">
        <f t="shared" ca="1" si="30"/>
        <v>4.4989821428571428</v>
      </c>
      <c r="F43" t="str">
        <f t="shared" ca="1" si="37"/>
        <v/>
      </c>
      <c r="H43">
        <f t="shared" ca="1" si="31"/>
        <v>1.1592857142857127</v>
      </c>
      <c r="I43" t="str">
        <f t="shared" ca="1" si="38"/>
        <v>sell</v>
      </c>
      <c r="K43">
        <f t="shared" si="32"/>
        <v>0.4216785714285714</v>
      </c>
      <c r="L43" t="str">
        <f t="shared" si="39"/>
        <v/>
      </c>
      <c r="N43">
        <f t="shared" si="33"/>
        <v>5.2475000000000014</v>
      </c>
      <c r="O43" t="str">
        <f t="shared" si="40"/>
        <v/>
      </c>
      <c r="Q43">
        <f t="shared" ca="1" si="34"/>
        <v>3.5410714285714309</v>
      </c>
      <c r="R43" t="str">
        <f t="shared" ca="1" si="41"/>
        <v/>
      </c>
      <c r="T43">
        <f t="shared" ca="1" si="45"/>
        <v>6.1621428571428583</v>
      </c>
      <c r="U43" t="str">
        <f t="shared" ca="1" si="42"/>
        <v/>
      </c>
      <c r="W43">
        <f t="shared" ca="1" si="35"/>
        <v>4.7424999999999988</v>
      </c>
      <c r="X43" t="str">
        <f t="shared" ca="1" si="43"/>
        <v/>
      </c>
      <c r="Z43">
        <f t="shared" ca="1" si="36"/>
        <v>5.1542857142857148</v>
      </c>
      <c r="AA43" t="str">
        <f t="shared" ca="1" si="44"/>
        <v/>
      </c>
    </row>
    <row r="44" spans="1:27" x14ac:dyDescent="0.25">
      <c r="A44">
        <v>7</v>
      </c>
      <c r="B44">
        <f t="shared" ca="1" si="28"/>
        <v>2.1859615384615387</v>
      </c>
      <c r="C44" t="str">
        <f t="shared" ca="1" si="29"/>
        <v/>
      </c>
      <c r="E44">
        <f t="shared" ca="1" si="30"/>
        <v>3.4232451923076912</v>
      </c>
      <c r="F44" t="str">
        <f t="shared" ca="1" si="37"/>
        <v/>
      </c>
      <c r="H44">
        <f t="shared" ca="1" si="31"/>
        <v>1.8752884615384611</v>
      </c>
      <c r="I44" t="str">
        <f t="shared" ca="1" si="38"/>
        <v/>
      </c>
      <c r="K44">
        <f t="shared" si="32"/>
        <v>0.92039423076923077</v>
      </c>
      <c r="L44" t="str">
        <f t="shared" si="39"/>
        <v>buy</v>
      </c>
      <c r="N44">
        <f t="shared" si="33"/>
        <v>4.7368269230769231</v>
      </c>
      <c r="O44" t="str">
        <f t="shared" si="40"/>
        <v/>
      </c>
      <c r="Q44">
        <f t="shared" ca="1" si="34"/>
        <v>2.52778846153846</v>
      </c>
      <c r="R44" t="str">
        <f t="shared" ca="1" si="41"/>
        <v/>
      </c>
      <c r="T44">
        <f t="shared" ca="1" si="45"/>
        <v>5.3016346153846143</v>
      </c>
      <c r="U44" t="str">
        <f t="shared" ca="1" si="42"/>
        <v/>
      </c>
      <c r="W44">
        <f t="shared" ca="1" si="35"/>
        <v>3.6790384615384615</v>
      </c>
      <c r="X44" t="str">
        <f t="shared" ca="1" si="43"/>
        <v/>
      </c>
      <c r="Z44">
        <f t="shared" ca="1" si="36"/>
        <v>3.9666346153846153</v>
      </c>
      <c r="AA44" t="str">
        <f t="shared" ca="1" si="44"/>
        <v/>
      </c>
    </row>
    <row r="45" spans="1:27" x14ac:dyDescent="0.25">
      <c r="A45">
        <v>10</v>
      </c>
      <c r="B45">
        <f t="shared" ca="1" si="28"/>
        <v>1.8689999999999998</v>
      </c>
      <c r="C45" t="str">
        <f t="shared" ca="1" si="29"/>
        <v>sell</v>
      </c>
      <c r="E45">
        <f t="shared" ca="1" si="30"/>
        <v>2.1215300000000012</v>
      </c>
      <c r="F45" t="str">
        <f t="shared" ca="1" si="37"/>
        <v>sell</v>
      </c>
      <c r="H45">
        <f t="shared" ca="1" si="31"/>
        <v>1.3702000000000001</v>
      </c>
      <c r="I45" t="str">
        <f t="shared" ca="1" si="38"/>
        <v/>
      </c>
      <c r="K45">
        <f t="shared" si="32"/>
        <v>0.48453999999999997</v>
      </c>
      <c r="L45" t="str">
        <f t="shared" si="39"/>
        <v/>
      </c>
      <c r="N45">
        <f t="shared" si="33"/>
        <v>3.3124999999999991</v>
      </c>
      <c r="O45" t="str">
        <f t="shared" si="40"/>
        <v>sell</v>
      </c>
      <c r="Q45">
        <f t="shared" ca="1" si="34"/>
        <v>2.1185000000000005</v>
      </c>
      <c r="R45" t="str">
        <f t="shared" ca="1" si="41"/>
        <v>sell</v>
      </c>
      <c r="T45">
        <f t="shared" ca="1" si="45"/>
        <v>4.2525000000000004</v>
      </c>
      <c r="U45" t="str">
        <f t="shared" ca="1" si="42"/>
        <v>sell</v>
      </c>
      <c r="W45">
        <f t="shared" ca="1" si="35"/>
        <v>3.5489999999999999</v>
      </c>
      <c r="X45" t="str">
        <f t="shared" ca="1" si="43"/>
        <v>sell</v>
      </c>
      <c r="Z45">
        <f t="shared" ca="1" si="36"/>
        <v>3.6159999999999997</v>
      </c>
      <c r="AA45" t="str">
        <f t="shared" ca="1" si="44"/>
        <v>sell</v>
      </c>
    </row>
    <row r="46" spans="1:27" x14ac:dyDescent="0.25">
      <c r="A46">
        <v>30</v>
      </c>
      <c r="B46">
        <f t="shared" ca="1" si="28"/>
        <v>0.7382867647058825</v>
      </c>
      <c r="C46" t="str">
        <f t="shared" ca="1" si="29"/>
        <v/>
      </c>
      <c r="E46">
        <f t="shared" ca="1" si="30"/>
        <v>1.0293948529411763</v>
      </c>
      <c r="F46" t="str">
        <f t="shared" ca="1" si="37"/>
        <v/>
      </c>
      <c r="H46">
        <f t="shared" ca="1" si="31"/>
        <v>0.56578676470588252</v>
      </c>
      <c r="I46" t="str">
        <f t="shared" ca="1" si="38"/>
        <v/>
      </c>
      <c r="K46">
        <f t="shared" si="32"/>
        <v>0.76362794117647059</v>
      </c>
      <c r="L46" t="str">
        <f t="shared" si="39"/>
        <v/>
      </c>
      <c r="N46">
        <f>+N37*AD$27/(AD28/2)</f>
        <v>3.153970588235294</v>
      </c>
      <c r="O46" t="str">
        <f t="shared" si="40"/>
        <v/>
      </c>
      <c r="Q46">
        <f t="shared" ca="1" si="34"/>
        <v>0.79411764705882337</v>
      </c>
      <c r="R46" t="str">
        <f t="shared" ca="1" si="41"/>
        <v/>
      </c>
      <c r="T46">
        <f t="shared" ca="1" si="45"/>
        <v>1.7781397058823529</v>
      </c>
      <c r="U46" t="str">
        <f t="shared" ca="1" si="42"/>
        <v/>
      </c>
      <c r="W46">
        <f t="shared" ca="1" si="35"/>
        <v>1.4521323529411763</v>
      </c>
      <c r="X46" t="str">
        <f t="shared" ca="1" si="43"/>
        <v/>
      </c>
      <c r="Z46">
        <f t="shared" ca="1" si="36"/>
        <v>1.5077205882352942</v>
      </c>
      <c r="AA46" t="str">
        <f t="shared" ca="1" si="44"/>
        <v/>
      </c>
    </row>
    <row r="49" spans="1:26" x14ac:dyDescent="0.25">
      <c r="A49" t="s">
        <v>79</v>
      </c>
      <c r="B49" s="59">
        <f ca="1">+B43-B40</f>
        <v>-5.2603571428571438</v>
      </c>
      <c r="C49" s="60">
        <f ca="1">+B44-B40*0.5</f>
        <v>-1.9940384615384619</v>
      </c>
      <c r="E49" s="59">
        <f ca="1">+E43-E40</f>
        <v>-11.721917857142854</v>
      </c>
      <c r="F49" s="60">
        <f ca="1">+E44-E40*0.5</f>
        <v>-4.6872048076923072</v>
      </c>
      <c r="H49" s="59">
        <f ca="1">+H43-H40</f>
        <v>-4.2917142857142867</v>
      </c>
      <c r="K49" s="59">
        <f>+K43-K40</f>
        <v>0.20647857142857134</v>
      </c>
      <c r="N49" s="60">
        <f>+N43-N40</f>
        <v>-11.987499999999994</v>
      </c>
      <c r="Q49" s="59">
        <f ca="1">+Q43-Q40</f>
        <v>-7.986428571428565</v>
      </c>
      <c r="T49" s="59">
        <f ca="1">+T43-T40</f>
        <v>-5.345357142857142</v>
      </c>
      <c r="W49" s="59">
        <f ca="1">+W43-W40</f>
        <v>-5.5425000000000031</v>
      </c>
      <c r="Z49" s="59">
        <f ca="1">+Z43-Z40</f>
        <v>-3.5457142857142863</v>
      </c>
    </row>
    <row r="50" spans="1:26" x14ac:dyDescent="0.25">
      <c r="A50" t="s">
        <v>80</v>
      </c>
      <c r="B50" s="60">
        <f ca="1">+B45-B40</f>
        <v>-6.4910000000000014</v>
      </c>
      <c r="C50" s="60">
        <f ca="1">+B45-B40*0.5</f>
        <v>-2.3110000000000008</v>
      </c>
      <c r="E50" s="60">
        <f ca="1">+E45-E40</f>
        <v>-14.099369999999995</v>
      </c>
      <c r="F50" s="60">
        <f ca="1">+E45-E40*0.5</f>
        <v>-5.9889199999999967</v>
      </c>
      <c r="H50" s="59">
        <f ca="1">+H45-H40</f>
        <v>-4.0808</v>
      </c>
      <c r="I50" s="60">
        <f ca="1">+H45-H40*0.5</f>
        <v>-1.3552999999999997</v>
      </c>
      <c r="K50" s="59">
        <f>+K45-K40</f>
        <v>0.26933999999999991</v>
      </c>
      <c r="N50" s="60">
        <f>+N45-N40</f>
        <v>-13.922499999999996</v>
      </c>
      <c r="Q50" s="60">
        <f ca="1">+Q45-Q40</f>
        <v>-9.4089999999999954</v>
      </c>
      <c r="T50" s="60">
        <f ca="1">+T45-T40</f>
        <v>-7.2549999999999999</v>
      </c>
      <c r="U50" s="60">
        <f ca="1">+T45-T40*0.5</f>
        <v>-1.5012499999999998</v>
      </c>
      <c r="W50" s="59">
        <f ca="1">+W45-W40</f>
        <v>-6.7360000000000024</v>
      </c>
      <c r="Z50" s="59">
        <f ca="1">+Z45-Z40</f>
        <v>-5.0840000000000014</v>
      </c>
    </row>
    <row r="51" spans="1:26" x14ac:dyDescent="0.25">
      <c r="A51" t="s">
        <v>81</v>
      </c>
      <c r="B51" s="59">
        <f ca="1">+B45-B43</f>
        <v>-1.2306428571428571</v>
      </c>
      <c r="E51" s="59">
        <f ca="1">+E45-E43</f>
        <v>-2.3774521428571416</v>
      </c>
      <c r="H51" s="59">
        <f ca="1">+H45-H43</f>
        <v>0.21091428571428739</v>
      </c>
      <c r="K51" s="59">
        <f>+K45-K43</f>
        <v>6.2861428571428568E-2</v>
      </c>
      <c r="N51" s="59">
        <f>+N45-N43</f>
        <v>-1.9350000000000023</v>
      </c>
      <c r="Q51" s="59">
        <f ca="1">+Q45-Q43</f>
        <v>-1.4225714285714304</v>
      </c>
      <c r="T51" s="59">
        <f ca="1">+T45-T43</f>
        <v>-1.9096428571428579</v>
      </c>
      <c r="W51" s="59">
        <f ca="1">+W45-W43</f>
        <v>-1.1934999999999989</v>
      </c>
      <c r="Z51" s="59">
        <f ca="1">+Z45-Z43</f>
        <v>-1.5382857142857151</v>
      </c>
    </row>
    <row r="52" spans="1:26" x14ac:dyDescent="0.25">
      <c r="A52" t="s">
        <v>82</v>
      </c>
      <c r="B52" s="59">
        <f ca="1">+B46-B45</f>
        <v>-1.1307132352941172</v>
      </c>
      <c r="E52" s="59">
        <f ca="1">+E46-E45</f>
        <v>-1.092135147058825</v>
      </c>
      <c r="H52" s="59">
        <f ca="1">+H46-H45</f>
        <v>-0.80441323529411757</v>
      </c>
      <c r="K52" s="59">
        <f>+K46-K45</f>
        <v>0.27908794117647062</v>
      </c>
      <c r="N52" s="59">
        <f>+N46-N45</f>
        <v>-0.15852941176470514</v>
      </c>
      <c r="Q52" s="59">
        <f ca="1">+Q46-Q45</f>
        <v>-1.3243823529411771</v>
      </c>
      <c r="T52" s="59">
        <f ca="1">+T46-T45</f>
        <v>-2.4743602941176475</v>
      </c>
      <c r="W52" s="59">
        <f ca="1">+W46-W45</f>
        <v>-2.0968676470588239</v>
      </c>
      <c r="Z52" s="59">
        <f ca="1">+Z46-Z45</f>
        <v>-2.1082794117647055</v>
      </c>
    </row>
    <row r="54" spans="1:26" x14ac:dyDescent="0.25">
      <c r="A54" t="s">
        <v>83</v>
      </c>
      <c r="B54" s="60">
        <f ca="1">+B40/2+B45/2-B43</f>
        <v>2.0148571428571436</v>
      </c>
      <c r="E54" s="59">
        <f ca="1">+E40/2+E45/2-E43</f>
        <v>4.6722328571428555</v>
      </c>
      <c r="H54" s="59">
        <f ca="1">+H40/2+H45/2-H43</f>
        <v>2.2513142857142867</v>
      </c>
      <c r="K54" s="59">
        <f>+K40/2+K45/2-K43</f>
        <v>-7.1808571428571388E-2</v>
      </c>
      <c r="N54" s="59">
        <f>+N40/2+N45/2-N43</f>
        <v>5.0262499999999966</v>
      </c>
      <c r="Q54" s="59">
        <f ca="1">+Q40/2+Q45/2-Q43</f>
        <v>3.2819285714285678</v>
      </c>
      <c r="T54" s="59">
        <f ca="1">+T40/2+T45/2-T43</f>
        <v>1.7178571428571425</v>
      </c>
      <c r="W54" s="59">
        <f ca="1">+W40/2+W45/2-W43</f>
        <v>2.1745000000000019</v>
      </c>
      <c r="Z54" s="59">
        <f ca="1">+Z40/2+Z45/2-Z43</f>
        <v>1.0037142857142856</v>
      </c>
    </row>
    <row r="56" spans="1:26" x14ac:dyDescent="0.25">
      <c r="A56" s="58" t="s">
        <v>458</v>
      </c>
      <c r="B56" s="60">
        <f ca="1">+B46-B43</f>
        <v>-2.3613560924369743</v>
      </c>
      <c r="E56" s="60">
        <f ca="1">+E46-E43</f>
        <v>-3.4695872899159665</v>
      </c>
      <c r="H56" s="59">
        <f ca="1">+H46-H43</f>
        <v>-0.59349894957983018</v>
      </c>
      <c r="K56" s="59">
        <f>+K46-K43</f>
        <v>0.34194936974789919</v>
      </c>
      <c r="N56" s="59">
        <f>+N46-N43</f>
        <v>-2.0935294117647074</v>
      </c>
      <c r="Q56" s="59">
        <f ca="1">+Q46-Q43</f>
        <v>-2.7469537815126075</v>
      </c>
      <c r="T56" s="60">
        <f ca="1">+T46-T43</f>
        <v>-4.3840031512605053</v>
      </c>
      <c r="W56" s="59">
        <f ca="1">+W46-W43</f>
        <v>-3.2903676470588223</v>
      </c>
      <c r="Z56" s="59">
        <f ca="1">+Z46-Z43</f>
        <v>-3.6465651260504206</v>
      </c>
    </row>
  </sheetData>
  <pageMargins left="0.25" right="0.25" top="0.75" bottom="0.75" header="0.3" footer="0.3"/>
  <pageSetup scale="4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E2:AI37"/>
  <sheetViews>
    <sheetView showGridLines="0" workbookViewId="0"/>
  </sheetViews>
  <sheetFormatPr defaultColWidth="9.140625" defaultRowHeight="15" x14ac:dyDescent="0.25"/>
  <cols>
    <col min="1" max="1" width="4" style="11" bestFit="1" customWidth="1"/>
    <col min="2" max="2" width="23.42578125" style="11" bestFit="1" customWidth="1"/>
    <col min="3" max="3" width="8" style="11" bestFit="1" customWidth="1"/>
    <col min="4" max="4" width="6.7109375" style="11" bestFit="1" customWidth="1"/>
    <col min="5" max="5" width="15.85546875" style="11" bestFit="1" customWidth="1"/>
    <col min="6" max="6" width="9.7109375" style="11" bestFit="1" customWidth="1"/>
    <col min="7" max="7" width="9.140625" style="11"/>
    <col min="8" max="8" width="9.5703125" style="11" bestFit="1" customWidth="1"/>
    <col min="9" max="16384" width="9.140625" style="11"/>
  </cols>
  <sheetData>
    <row r="2" spans="5:35" x14ac:dyDescent="0.25">
      <c r="E2" s="14"/>
    </row>
    <row r="3" spans="5:35" s="46" customFormat="1" ht="12.75" x14ac:dyDescent="0.2">
      <c r="E3" s="47"/>
      <c r="J3" s="48" t="s">
        <v>1001</v>
      </c>
      <c r="K3" s="48" t="s">
        <v>385</v>
      </c>
      <c r="L3" s="48" t="s">
        <v>386</v>
      </c>
      <c r="M3" s="48" t="s">
        <v>1002</v>
      </c>
      <c r="N3" s="48" t="s">
        <v>1003</v>
      </c>
      <c r="O3" s="48" t="s">
        <v>2</v>
      </c>
      <c r="P3" s="48" t="s">
        <v>145</v>
      </c>
      <c r="Q3" s="48" t="s">
        <v>387</v>
      </c>
      <c r="R3" s="48" t="s">
        <v>388</v>
      </c>
      <c r="S3" s="48" t="s">
        <v>119</v>
      </c>
      <c r="T3" s="48" t="s">
        <v>389</v>
      </c>
      <c r="U3" s="48" t="s">
        <v>389</v>
      </c>
    </row>
    <row r="4" spans="5:35" s="46" customFormat="1" ht="12.75" x14ac:dyDescent="0.2">
      <c r="E4" s="47"/>
      <c r="I4" s="48"/>
      <c r="N4" s="48" t="s">
        <v>390</v>
      </c>
      <c r="O4" s="48" t="s">
        <v>390</v>
      </c>
      <c r="P4" s="48" t="s">
        <v>390</v>
      </c>
      <c r="Q4" s="48" t="s">
        <v>390</v>
      </c>
      <c r="R4" s="48" t="s">
        <v>390</v>
      </c>
      <c r="S4" s="48" t="s">
        <v>390</v>
      </c>
      <c r="T4" s="48" t="s">
        <v>390</v>
      </c>
      <c r="U4" s="48" t="s">
        <v>391</v>
      </c>
    </row>
    <row r="5" spans="5:35" s="46" customFormat="1" x14ac:dyDescent="0.25">
      <c r="E5" s="47"/>
      <c r="F5" s="48"/>
      <c r="G5" s="48" t="s">
        <v>392</v>
      </c>
      <c r="H5" s="48" t="s">
        <v>393</v>
      </c>
      <c r="I5" s="48" t="s">
        <v>3</v>
      </c>
      <c r="J5" s="49">
        <f>_xll.BDP("wgdpeur index","px last")</f>
        <v>13021.049000000001</v>
      </c>
      <c r="K5" s="50">
        <f>+J5/$J$5</f>
        <v>1</v>
      </c>
      <c r="L5" s="48">
        <v>365</v>
      </c>
      <c r="M5" s="49">
        <f>J5/L5</f>
        <v>35.674106849315073</v>
      </c>
      <c r="N5" s="15">
        <f>_xll.BDP("EUGNEMUy index","px last")</f>
        <v>4.7</v>
      </c>
      <c r="O5" s="15">
        <f>_xll.BDP("ECCPEMUY INDEX","px last")</f>
        <v>7.4</v>
      </c>
      <c r="P5" s="15">
        <f>_xll.BDP("umrtemu index","px last")</f>
        <v>6.8</v>
      </c>
      <c r="Q5" s="15">
        <f>_xll.BDP("EUdbeuro index","px last")</f>
        <v>95.6</v>
      </c>
      <c r="R5" s="51">
        <f>_xll.BDP("eubdeuro index","px last")</f>
        <v>-5.0999999999999996</v>
      </c>
      <c r="S5" s="15">
        <f>_xll.BDP("ehcaEU INDEX","PX LAST")</f>
        <v>2.59</v>
      </c>
      <c r="T5" s="15">
        <f>_xll.BDP("LCTQEUi INDEX","PX LAST")</f>
        <v>118.5</v>
      </c>
      <c r="U5" s="7">
        <f>+AVERAGE(U7:U9)</f>
        <v>98.596333333333334</v>
      </c>
    </row>
    <row r="6" spans="5:35" s="46" customFormat="1" x14ac:dyDescent="0.25">
      <c r="E6" s="47"/>
      <c r="F6" s="48"/>
      <c r="G6" s="61"/>
      <c r="H6" s="61"/>
      <c r="I6" s="62" t="s">
        <v>463</v>
      </c>
      <c r="J6" s="61"/>
      <c r="K6" s="61"/>
      <c r="L6" s="61"/>
      <c r="M6" s="61"/>
      <c r="N6" s="63">
        <f>+AVERAGE(N7:N31)</f>
        <v>2.5709999999999997</v>
      </c>
      <c r="O6" s="63">
        <f t="shared" ref="O6:U6" si="0">+AVERAGE(O7:O31)</f>
        <v>6.0810000000000004</v>
      </c>
      <c r="P6" s="63">
        <f t="shared" si="0"/>
        <v>5.7264999999999997</v>
      </c>
      <c r="Q6" s="63">
        <f t="shared" si="0"/>
        <v>87.885000000000005</v>
      </c>
      <c r="R6" s="63">
        <f t="shared" si="0"/>
        <v>-4.5425000000000013</v>
      </c>
      <c r="S6" s="63">
        <f t="shared" si="0"/>
        <v>1.8884999999999998</v>
      </c>
      <c r="T6" s="63">
        <f t="shared" si="0"/>
        <v>108.9</v>
      </c>
      <c r="U6" s="63">
        <f t="shared" si="0"/>
        <v>96.426719999999975</v>
      </c>
    </row>
    <row r="7" spans="5:35" s="46" customFormat="1" x14ac:dyDescent="0.25">
      <c r="F7" s="46" t="s">
        <v>185</v>
      </c>
      <c r="G7" s="52">
        <f>+_xll.BDP(F7, "px last")</f>
        <v>0.94599999999999995</v>
      </c>
      <c r="H7" s="52">
        <f t="shared" ref="H7:H14" si="1">+SUM(AC7:AI7)</f>
        <v>4</v>
      </c>
      <c r="I7" s="48" t="s">
        <v>394</v>
      </c>
      <c r="J7" s="49">
        <f>_xll.BDP("wgdpgerm index","px last")</f>
        <v>3846.4140000000002</v>
      </c>
      <c r="K7" s="50">
        <f>+J7/$J$5</f>
        <v>0.29539970243564861</v>
      </c>
      <c r="L7" s="49">
        <v>80.965000000000003</v>
      </c>
      <c r="M7" s="49">
        <f>J7/L7</f>
        <v>47.507120360649665</v>
      </c>
      <c r="N7" s="15">
        <f>_xll.BDP("EUGNdey index","px last")</f>
        <v>1.8</v>
      </c>
      <c r="O7" s="15">
        <f>_xll.BDP("ECCPdeY INDEX","px last")</f>
        <v>7.6</v>
      </c>
      <c r="P7" s="15">
        <f>_xll.BDP("umrtde index","px last")</f>
        <v>3.1</v>
      </c>
      <c r="Q7" s="15">
        <f>_xll.BDP("EUdb60de index","px last")</f>
        <v>69.3</v>
      </c>
      <c r="R7" s="51">
        <f>_xll.BDP("eubdgerm index","px last")</f>
        <v>-3.7</v>
      </c>
      <c r="S7" s="15">
        <f>_xll.BDP("ehcaDE INDEX","PX LAST")</f>
        <v>7.38</v>
      </c>
      <c r="T7" s="15">
        <f>_xll.BDP("LCTQdei INDEX","PX LAST")</f>
        <v>136.4</v>
      </c>
      <c r="U7" s="7">
        <f>_xll.BDP("EOdeU006 INDEX","PX LAST")</f>
        <v>106.063</v>
      </c>
      <c r="AC7" s="49">
        <f>+IF(N6&gt;N$5,1,0)</f>
        <v>0</v>
      </c>
      <c r="AD7" s="49">
        <f>+IF(O6&lt;O$5,1,0)</f>
        <v>1</v>
      </c>
      <c r="AE7" s="49">
        <f>+IF(P6&lt;P$5,1,0)</f>
        <v>1</v>
      </c>
      <c r="AF7" s="49">
        <f>+IF(Q6&lt;Q$5,1,0)</f>
        <v>1</v>
      </c>
      <c r="AG7" s="49">
        <f>+IF(R6&lt;R$5,1,0)</f>
        <v>0</v>
      </c>
      <c r="AH7" s="49">
        <f t="shared" ref="AH7" si="2">+IF(S6&gt;S$5,1,0)</f>
        <v>0</v>
      </c>
      <c r="AI7" s="49">
        <f>+IF(T6&lt;T$5,1,0)</f>
        <v>1</v>
      </c>
    </row>
    <row r="8" spans="5:35" s="46" customFormat="1" x14ac:dyDescent="0.25">
      <c r="F8" s="46" t="s">
        <v>208</v>
      </c>
      <c r="G8" s="52">
        <f>+_xll.BDP(F8, "px last")</f>
        <v>1.397</v>
      </c>
      <c r="H8" s="52">
        <f t="shared" si="1"/>
        <v>3</v>
      </c>
      <c r="I8" s="48" t="s">
        <v>395</v>
      </c>
      <c r="J8" s="49">
        <f>_xll.BDP("wgdpfra index","px last")</f>
        <v>2630.3180000000002</v>
      </c>
      <c r="K8" s="50">
        <f t="shared" ref="K8:K14" si="3">+J8/$J$5</f>
        <v>0.2020050765495161</v>
      </c>
      <c r="L8" s="49">
        <v>64.88</v>
      </c>
      <c r="M8" s="49">
        <f t="shared" ref="M8:M14" si="4">J8/L8</f>
        <v>40.541276202219485</v>
      </c>
      <c r="N8" s="15">
        <f>_xll.BDP("EUGNfry index","px last")</f>
        <v>5.4</v>
      </c>
      <c r="O8" s="15">
        <f>_xll.BDP("ECCPfrY INDEX","px last")</f>
        <v>5.0999999999999996</v>
      </c>
      <c r="P8" s="15">
        <f>_xll.BDP("umrtfr index","px last")</f>
        <v>7.4</v>
      </c>
      <c r="Q8" s="15">
        <f>_xll.BDP("EUdb60fr index","px last")</f>
        <v>112.9</v>
      </c>
      <c r="R8" s="15">
        <f>_xll.BDP("EUbdfran index","px last")</f>
        <v>-6.5</v>
      </c>
      <c r="S8" s="15">
        <f>_xll.BDP("ehcaFR INDEX","PX LAST")</f>
        <v>-0.76</v>
      </c>
      <c r="T8" s="15">
        <f>_xll.BDP("LCTQfri INDEX","PX LAST")</f>
        <v>113.2</v>
      </c>
      <c r="U8" s="7">
        <f>_xll.BDP("EOfrU007 INDEX","PX LAST")</f>
        <v>94.844999999999999</v>
      </c>
      <c r="AC8" s="49">
        <f t="shared" ref="AC8:AC14" si="5">+IF(N7&gt;N$5,1,0)</f>
        <v>0</v>
      </c>
      <c r="AD8" s="49">
        <f t="shared" ref="AD8:AD14" si="6">+IF(O7&lt;O$5,1,0)</f>
        <v>0</v>
      </c>
      <c r="AE8" s="49">
        <f t="shared" ref="AE8:AE14" si="7">+IF(P7&lt;P$5,1,0)</f>
        <v>1</v>
      </c>
      <c r="AF8" s="49">
        <f t="shared" ref="AF8:AF14" si="8">+IF(Q7&lt;Q$5,1,0)</f>
        <v>1</v>
      </c>
      <c r="AG8" s="49">
        <f t="shared" ref="AG8:AG14" si="9">+IF(R7&lt;R$5,1,0)</f>
        <v>0</v>
      </c>
      <c r="AH8" s="49">
        <f t="shared" ref="AH8:AH14" si="10">+IF(S7&gt;S$5,1,0)</f>
        <v>1</v>
      </c>
      <c r="AI8" s="49">
        <f t="shared" ref="AI8:AI14" si="11">+IF(T7&lt;T$5,1,0)</f>
        <v>0</v>
      </c>
    </row>
    <row r="9" spans="5:35" s="46" customFormat="1" x14ac:dyDescent="0.25">
      <c r="F9" s="46" t="s">
        <v>209</v>
      </c>
      <c r="G9" s="52">
        <f>+_xll.BDP(F9, "px last")</f>
        <v>2.464</v>
      </c>
      <c r="H9" s="52">
        <f t="shared" si="1"/>
        <v>4</v>
      </c>
      <c r="I9" s="48" t="s">
        <v>396</v>
      </c>
      <c r="J9" s="49">
        <f>_xll.BDP("wgdpitaly index","px last")</f>
        <v>1888.7090000000001</v>
      </c>
      <c r="K9" s="50">
        <f t="shared" si="3"/>
        <v>0.14505044870040809</v>
      </c>
      <c r="L9" s="49">
        <v>61.98</v>
      </c>
      <c r="M9" s="49">
        <f t="shared" si="4"/>
        <v>30.472878347854149</v>
      </c>
      <c r="N9" s="15">
        <f>_xll.BDP("EUGNity index","px last")</f>
        <v>6.2</v>
      </c>
      <c r="O9" s="15">
        <f>_xll.BDP("ECCPitY INDEX","px last")</f>
        <v>6.8</v>
      </c>
      <c r="P9" s="15">
        <f>_xll.BDP("umrtit index","px last")</f>
        <v>8.5</v>
      </c>
      <c r="Q9" s="15">
        <f>_xll.BDP("EUdb60it index","px last")</f>
        <v>150.80000000000001</v>
      </c>
      <c r="R9" s="15">
        <f>_xll.BDP("EUbdital index","px last")</f>
        <v>-7.2</v>
      </c>
      <c r="S9" s="15">
        <f>_xll.BDP("ehcait INDEX","PX LAST")</f>
        <v>2.4500000000000002</v>
      </c>
      <c r="T9" s="15">
        <f>_xll.BDP("LCTQitir INDEX","PX LAST")</f>
        <v>97.6</v>
      </c>
      <c r="U9" s="7">
        <f>_xll.BDP("EOitU006 INDEX","PX LAST")</f>
        <v>94.881</v>
      </c>
      <c r="AC9" s="49">
        <f t="shared" si="5"/>
        <v>1</v>
      </c>
      <c r="AD9" s="49">
        <f t="shared" si="6"/>
        <v>1</v>
      </c>
      <c r="AE9" s="49">
        <f t="shared" si="7"/>
        <v>0</v>
      </c>
      <c r="AF9" s="49">
        <f t="shared" si="8"/>
        <v>0</v>
      </c>
      <c r="AG9" s="49">
        <f t="shared" si="9"/>
        <v>1</v>
      </c>
      <c r="AH9" s="49">
        <f t="shared" si="10"/>
        <v>0</v>
      </c>
      <c r="AI9" s="49">
        <f t="shared" si="11"/>
        <v>1</v>
      </c>
    </row>
    <row r="10" spans="5:35" s="46" customFormat="1" x14ac:dyDescent="0.25">
      <c r="E10" s="47"/>
      <c r="F10" s="46" t="s">
        <v>210</v>
      </c>
      <c r="G10" s="52">
        <f>+_xll.BDP(F10, "px last")</f>
        <v>1.9079999999999999</v>
      </c>
      <c r="H10" s="52">
        <f t="shared" si="1"/>
        <v>4</v>
      </c>
      <c r="I10" s="48" t="s">
        <v>397</v>
      </c>
      <c r="J10" s="49">
        <f>_xll.BDP("wgdpspa index","px last")</f>
        <v>1281.4849999999999</v>
      </c>
      <c r="K10" s="50">
        <f t="shared" si="3"/>
        <v>9.8416417909186871E-2</v>
      </c>
      <c r="L10" s="49">
        <v>47.496000000000002</v>
      </c>
      <c r="M10" s="49">
        <f t="shared" si="4"/>
        <v>26.980903655044632</v>
      </c>
      <c r="N10" s="15">
        <f>_xll.BDP("EUGNesy index","px last")</f>
        <v>5.5</v>
      </c>
      <c r="O10" s="15">
        <f>_xll.BDP("ECCPesY INDEX","px last")</f>
        <v>9.8000000000000007</v>
      </c>
      <c r="P10" s="15">
        <f>_xll.BDP("umrtes index","px last")</f>
        <v>12.6</v>
      </c>
      <c r="Q10" s="15">
        <f>_xll.BDP("EUdb60es index","px last")</f>
        <v>118.4</v>
      </c>
      <c r="R10" s="15">
        <f>_xll.BDP("EUbdspai index","px last")</f>
        <v>-6.9</v>
      </c>
      <c r="S10" s="15">
        <f>_xll.BDP("ehcaes INDEX","PX LAST")</f>
        <v>0.94</v>
      </c>
      <c r="T10" s="15">
        <f>_xll.BDP("LCTQesi INDEX","PX LAST")</f>
        <v>106.3</v>
      </c>
      <c r="U10" s="7">
        <f>_xll.BDP("EOspU006 INDEX","PX LAST")</f>
        <v>100.521</v>
      </c>
      <c r="AC10" s="49">
        <f t="shared" si="5"/>
        <v>1</v>
      </c>
      <c r="AD10" s="49">
        <f t="shared" si="6"/>
        <v>1</v>
      </c>
      <c r="AE10" s="49">
        <f t="shared" si="7"/>
        <v>0</v>
      </c>
      <c r="AF10" s="49">
        <f t="shared" si="8"/>
        <v>0</v>
      </c>
      <c r="AG10" s="49">
        <f t="shared" si="9"/>
        <v>1</v>
      </c>
      <c r="AH10" s="49">
        <f t="shared" si="10"/>
        <v>0</v>
      </c>
      <c r="AI10" s="49">
        <f t="shared" si="11"/>
        <v>1</v>
      </c>
    </row>
    <row r="11" spans="5:35" s="46" customFormat="1" x14ac:dyDescent="0.25">
      <c r="E11" s="47"/>
      <c r="F11" s="48"/>
      <c r="G11" s="52"/>
      <c r="H11" s="52">
        <f t="shared" si="1"/>
        <v>3</v>
      </c>
      <c r="I11" s="48" t="s">
        <v>398</v>
      </c>
      <c r="J11" s="49">
        <f>_xll.BDP("wgdpneth index","px last")</f>
        <v>913.86500000000001</v>
      </c>
      <c r="K11" s="50">
        <f t="shared" si="3"/>
        <v>7.0183669533844778E-2</v>
      </c>
      <c r="L11" s="49">
        <v>16.96</v>
      </c>
      <c r="M11" s="49">
        <f t="shared" si="4"/>
        <v>53.883549528301884</v>
      </c>
      <c r="N11" s="15">
        <f>_xll.BDP("EUGNnly index","px last")</f>
        <v>6.4</v>
      </c>
      <c r="O11" s="15">
        <f>_xll.BDP("ECCPnlY INDEX","px last")</f>
        <v>11.7</v>
      </c>
      <c r="P11" s="15">
        <f>_xll.BDP("umrtnl index","px last")</f>
        <v>3.3</v>
      </c>
      <c r="Q11" s="15">
        <f>_xll.BDP("EUdb60nl index","px last")</f>
        <v>52.1</v>
      </c>
      <c r="R11" s="15">
        <f>_xll.BDP("EUbdneth index","px last")</f>
        <v>-2.5</v>
      </c>
      <c r="S11" s="15">
        <f>_xll.BDP("ehcanl INDEX","PX LAST")</f>
        <v>9.4600000000000009</v>
      </c>
      <c r="T11" s="15">
        <f>_xll.BDP("LCTqnli INDEX","PX LAST")</f>
        <v>119.2</v>
      </c>
      <c r="U11" s="7">
        <f>_xll.BDP("EOneU006 INDEX","PX LAST")</f>
        <v>102.712</v>
      </c>
      <c r="AC11" s="49">
        <f t="shared" si="5"/>
        <v>1</v>
      </c>
      <c r="AD11" s="49">
        <f t="shared" si="6"/>
        <v>0</v>
      </c>
      <c r="AE11" s="49">
        <f t="shared" si="7"/>
        <v>0</v>
      </c>
      <c r="AF11" s="49">
        <f t="shared" si="8"/>
        <v>0</v>
      </c>
      <c r="AG11" s="49">
        <f t="shared" si="9"/>
        <v>1</v>
      </c>
      <c r="AH11" s="49">
        <f t="shared" si="10"/>
        <v>0</v>
      </c>
      <c r="AI11" s="49">
        <f t="shared" si="11"/>
        <v>1</v>
      </c>
    </row>
    <row r="12" spans="5:35" s="46" customFormat="1" x14ac:dyDescent="0.25">
      <c r="E12" s="47"/>
      <c r="F12" s="48"/>
      <c r="G12" s="52"/>
      <c r="H12" s="52">
        <f t="shared" si="1"/>
        <v>4</v>
      </c>
      <c r="I12" s="48" t="s">
        <v>399</v>
      </c>
      <c r="J12" s="49">
        <f>_xll.BDP("wgdpgree index","px last")</f>
        <v>188.83500000000001</v>
      </c>
      <c r="K12" s="50">
        <f t="shared" si="3"/>
        <v>1.4502287795706783E-2</v>
      </c>
      <c r="L12" s="49">
        <v>11.238</v>
      </c>
      <c r="M12" s="49">
        <f t="shared" si="4"/>
        <v>16.803256807261079</v>
      </c>
      <c r="N12" s="15">
        <f>_xll.BDP("EUGNgry index","px last")</f>
        <v>7.7</v>
      </c>
      <c r="O12" s="15">
        <f>_xll.BDP("ECCPgrY INDEX","px last")</f>
        <v>8</v>
      </c>
      <c r="P12" s="15">
        <f>_xll.BDP("umrtgr index","px last")</f>
        <v>11.9</v>
      </c>
      <c r="Q12" s="15">
        <f>_xll.BDP("EUdb60gr index","px last")</f>
        <v>193.3</v>
      </c>
      <c r="R12" s="15">
        <f>_xll.BDP("EUbdgrce index","px last")</f>
        <v>-7.4</v>
      </c>
      <c r="S12" s="15">
        <f>_xll.BDP("ehcagr INDEX","PX LAST")</f>
        <v>-5.91</v>
      </c>
      <c r="T12" s="15">
        <f>_xll.BDP("LCTqgri INDEX","PX LAST")</f>
        <v>97.7</v>
      </c>
      <c r="U12" s="7">
        <f>_xll.BDP("EOgrU006 INDEX","PX LAST")</f>
        <v>97.650999999999996</v>
      </c>
      <c r="AC12" s="49">
        <f t="shared" si="5"/>
        <v>1</v>
      </c>
      <c r="AD12" s="49">
        <f t="shared" si="6"/>
        <v>0</v>
      </c>
      <c r="AE12" s="49">
        <f t="shared" si="7"/>
        <v>1</v>
      </c>
      <c r="AF12" s="49">
        <f t="shared" si="8"/>
        <v>1</v>
      </c>
      <c r="AG12" s="49">
        <f t="shared" si="9"/>
        <v>0</v>
      </c>
      <c r="AH12" s="49">
        <f t="shared" si="10"/>
        <v>1</v>
      </c>
      <c r="AI12" s="49">
        <f t="shared" si="11"/>
        <v>0</v>
      </c>
    </row>
    <row r="13" spans="5:35" s="46" customFormat="1" x14ac:dyDescent="0.25">
      <c r="E13" s="47"/>
      <c r="F13" s="46" t="s">
        <v>211</v>
      </c>
      <c r="G13" s="52">
        <f>+_xll.BDP(F13, "px last")</f>
        <v>1.958</v>
      </c>
      <c r="H13" s="52">
        <f t="shared" si="1"/>
        <v>3</v>
      </c>
      <c r="I13" s="48" t="s">
        <v>400</v>
      </c>
      <c r="J13" s="49">
        <f>_xll.BDP("wgdpport index","px last")</f>
        <v>228.53899999999999</v>
      </c>
      <c r="K13" s="50">
        <f t="shared" si="3"/>
        <v>1.7551504490920813E-2</v>
      </c>
      <c r="L13" s="49">
        <v>10.69</v>
      </c>
      <c r="M13" s="49">
        <f t="shared" si="4"/>
        <v>21.378765201122544</v>
      </c>
      <c r="N13" s="15">
        <f>_xll.BDP("EUGNpty index","px last")</f>
        <v>5.9</v>
      </c>
      <c r="O13" s="15">
        <f>_xll.BDP("ECCPptY INDEX","px last")</f>
        <v>5.5</v>
      </c>
      <c r="P13" s="15">
        <f>_xll.BDP("umrtpt index","px last")</f>
        <v>5.8</v>
      </c>
      <c r="Q13" s="15">
        <f>_xll.BDP("EUdb60pt index","px last")</f>
        <v>127.4</v>
      </c>
      <c r="R13" s="15">
        <f>_xll.BDP("EUbdport index","px last")</f>
        <v>-2.8</v>
      </c>
      <c r="S13" s="15">
        <f>_xll.BDP("ehcapt INDEX","PX LAST")</f>
        <v>-1.1400000000000001</v>
      </c>
      <c r="T13" s="15">
        <f>_xll.BDP("LCTqpti INDEX","PX LAST")</f>
        <v>123.4</v>
      </c>
      <c r="U13" s="7">
        <f>_xll.BDP("EOptU006 INDEX","PX LAST")</f>
        <v>106.54900000000001</v>
      </c>
      <c r="AC13" s="49">
        <f t="shared" si="5"/>
        <v>1</v>
      </c>
      <c r="AD13" s="49">
        <f t="shared" si="6"/>
        <v>0</v>
      </c>
      <c r="AE13" s="49">
        <f t="shared" si="7"/>
        <v>0</v>
      </c>
      <c r="AF13" s="49">
        <f t="shared" si="8"/>
        <v>0</v>
      </c>
      <c r="AG13" s="49">
        <f t="shared" si="9"/>
        <v>1</v>
      </c>
      <c r="AH13" s="49">
        <f t="shared" si="10"/>
        <v>0</v>
      </c>
      <c r="AI13" s="49">
        <f t="shared" si="11"/>
        <v>1</v>
      </c>
    </row>
    <row r="14" spans="5:35" s="46" customFormat="1" x14ac:dyDescent="0.25">
      <c r="E14" s="47"/>
      <c r="F14" s="48"/>
      <c r="G14" s="52"/>
      <c r="H14" s="52">
        <f t="shared" si="1"/>
        <v>3</v>
      </c>
      <c r="I14" s="48" t="s">
        <v>401</v>
      </c>
      <c r="J14" s="49">
        <f>_xll.BDP("wgdpirel index","px last")</f>
        <v>425.88900000000001</v>
      </c>
      <c r="K14" s="50">
        <f t="shared" si="3"/>
        <v>3.2707733455269235E-2</v>
      </c>
      <c r="L14" s="49">
        <v>4.4279999999999999</v>
      </c>
      <c r="M14" s="49">
        <f t="shared" si="4"/>
        <v>96.180894308943095</v>
      </c>
      <c r="N14" s="15">
        <f>_xll.BDP("EUGNiey index","px last")</f>
        <v>10</v>
      </c>
      <c r="O14" s="15">
        <f>_xll.BDP("ECCPieY INDEX","px last")</f>
        <v>6.9</v>
      </c>
      <c r="P14" s="15">
        <f>_xll.BDP("umrtie index","px last")</f>
        <v>5.5</v>
      </c>
      <c r="Q14" s="15">
        <f>_xll.BDP("EUdb60ie index","px last")</f>
        <v>56</v>
      </c>
      <c r="R14" s="15">
        <f>_xll.BDP("EUbdirel index","px last")</f>
        <v>-1.9</v>
      </c>
      <c r="S14" s="15">
        <f>_xll.BDP("ehcaie INDEX","PX LAST")</f>
        <v>13.95</v>
      </c>
      <c r="T14" s="15">
        <f>_xll.BDP("LCTqiei INDEX","PX LAST")</f>
        <v>77.400000000000006</v>
      </c>
      <c r="U14" s="7">
        <f>_xll.BDP("EOirU006 INDEX","PX LAST")</f>
        <v>81.296999999999997</v>
      </c>
      <c r="AC14" s="49">
        <f t="shared" si="5"/>
        <v>1</v>
      </c>
      <c r="AD14" s="49">
        <f t="shared" si="6"/>
        <v>1</v>
      </c>
      <c r="AE14" s="49">
        <f t="shared" si="7"/>
        <v>1</v>
      </c>
      <c r="AF14" s="49">
        <f t="shared" si="8"/>
        <v>0</v>
      </c>
      <c r="AG14" s="49">
        <f t="shared" si="9"/>
        <v>0</v>
      </c>
      <c r="AH14" s="49">
        <f t="shared" si="10"/>
        <v>0</v>
      </c>
      <c r="AI14" s="49">
        <f t="shared" si="11"/>
        <v>0</v>
      </c>
    </row>
    <row r="15" spans="5:35" s="46" customFormat="1" x14ac:dyDescent="0.25">
      <c r="E15" s="47"/>
      <c r="F15" s="48"/>
      <c r="G15" s="52"/>
      <c r="H15" s="52"/>
      <c r="I15" s="52"/>
      <c r="J15" s="52"/>
      <c r="K15" s="50"/>
      <c r="L15" s="49"/>
      <c r="M15" s="49"/>
      <c r="S15" s="15"/>
      <c r="AC15" s="47"/>
      <c r="AD15" s="47"/>
      <c r="AE15" s="47"/>
      <c r="AF15" s="47"/>
      <c r="AG15" s="47"/>
      <c r="AH15" s="47"/>
      <c r="AI15" s="47"/>
    </row>
    <row r="16" spans="5:35" s="46" customFormat="1" x14ac:dyDescent="0.25">
      <c r="F16" s="48"/>
      <c r="G16" s="52"/>
      <c r="H16" s="52"/>
      <c r="I16" s="52"/>
      <c r="S16" s="15"/>
      <c r="AC16" s="47"/>
      <c r="AD16" s="47"/>
      <c r="AE16" s="47"/>
      <c r="AF16" s="47"/>
      <c r="AG16" s="47"/>
      <c r="AH16" s="47"/>
      <c r="AI16" s="47"/>
    </row>
    <row r="17" spans="5:35" s="46" customFormat="1" x14ac:dyDescent="0.25">
      <c r="E17" s="47"/>
      <c r="F17" s="48"/>
      <c r="G17" s="52"/>
      <c r="H17" s="52"/>
      <c r="I17" s="52"/>
      <c r="J17" s="52"/>
      <c r="K17" s="50"/>
      <c r="L17" s="49"/>
      <c r="M17" s="49"/>
      <c r="S17" s="15"/>
      <c r="AC17" s="47"/>
      <c r="AD17" s="47"/>
      <c r="AE17" s="47"/>
      <c r="AF17" s="47"/>
      <c r="AG17" s="47"/>
      <c r="AH17" s="47"/>
      <c r="AI17" s="47"/>
    </row>
    <row r="18" spans="5:35" s="46" customFormat="1" x14ac:dyDescent="0.25">
      <c r="E18" s="47"/>
      <c r="F18" s="46" t="s">
        <v>213</v>
      </c>
      <c r="G18" s="52">
        <f>+_xll.BDP(F18, "px last")</f>
        <v>0.90800000000000003</v>
      </c>
      <c r="H18" s="52">
        <f>+SUM(AC18:AI18)</f>
        <v>4</v>
      </c>
      <c r="I18" s="48" t="s">
        <v>402</v>
      </c>
      <c r="J18" s="49">
        <f>_xll.BDP("wgdpswit index","px last")</f>
        <v>752.24800000000005</v>
      </c>
      <c r="K18" s="50">
        <f>+J18/_xll.BDP("wgdpeur index","px last")</f>
        <v>5.7771689515952206E-2</v>
      </c>
      <c r="L18" s="51">
        <v>7.702</v>
      </c>
      <c r="M18" s="49">
        <f>J18/L18</f>
        <v>97.669176837185148</v>
      </c>
      <c r="N18" s="15">
        <f>_xll.BDP("szgrgdpy INDEX","PX LAST")</f>
        <v>3.7</v>
      </c>
      <c r="O18" s="15">
        <f>_xll.BDP("szcpiyoy INDEX","PX LAST")</f>
        <v>2.4</v>
      </c>
      <c r="P18" s="15">
        <f>_xll.BDP("szueuea index","px last")</f>
        <v>2.2000000000000002</v>
      </c>
      <c r="Q18" s="49">
        <f>_xll.BDP("gddbswitz index","px last")</f>
        <v>42.8</v>
      </c>
      <c r="R18" s="15">
        <f>_xll.BDP("ehbbchy INDEX","PX LAST")</f>
        <v>-2.27</v>
      </c>
      <c r="S18" s="15">
        <f>_xll.BDP("ehcach INDEX","PX LAST")</f>
        <v>9.3000000000000007</v>
      </c>
      <c r="T18" s="15"/>
      <c r="U18" s="7">
        <f>_xll.BDP("EOchU006 INDEX","PX LAST")</f>
        <v>91.073999999999998</v>
      </c>
      <c r="AC18" s="49">
        <f>+IF(N17&gt;N$5,1,0)</f>
        <v>0</v>
      </c>
      <c r="AD18" s="49">
        <f>+IF(O17&lt;O$5,1,0)</f>
        <v>1</v>
      </c>
      <c r="AE18" s="49">
        <f>+IF(P17&lt;P$5,1,0)</f>
        <v>1</v>
      </c>
      <c r="AF18" s="49">
        <f>+IF(Q17&lt;Q$5,1,0)</f>
        <v>1</v>
      </c>
      <c r="AG18" s="49">
        <f>+IF(R17&lt;R$5,1,0)</f>
        <v>0</v>
      </c>
      <c r="AH18" s="49">
        <f t="shared" ref="AH18:AH25" si="12">+IF(S17&gt;S$5,1,0)</f>
        <v>0</v>
      </c>
      <c r="AI18" s="49">
        <f>+IF(T17&lt;T$5,1,0)</f>
        <v>1</v>
      </c>
    </row>
    <row r="19" spans="5:35" s="46" customFormat="1" x14ac:dyDescent="0.25">
      <c r="E19" s="47"/>
      <c r="F19" s="46" t="s">
        <v>403</v>
      </c>
      <c r="G19" s="52">
        <f>+_xll.BDP(F19, "px last")</f>
        <v>1.9969999999999999</v>
      </c>
      <c r="H19" s="52">
        <f>+SUM(AC19:AI19)</f>
        <v>5</v>
      </c>
      <c r="I19" s="48" t="s">
        <v>5</v>
      </c>
      <c r="J19" s="49">
        <f>_xll.BDP("wgdpuk index","px last")</f>
        <v>2759.8040000000001</v>
      </c>
      <c r="K19" s="50">
        <f>+J19/_xll.BDP("wgdpeur index","px last")</f>
        <v>0.21194943663909105</v>
      </c>
      <c r="L19" s="51">
        <v>62.42</v>
      </c>
      <c r="M19" s="49">
        <f t="shared" ref="M19:M31" si="13">J19/L19</f>
        <v>44.21345722524832</v>
      </c>
      <c r="N19" s="15">
        <f>_xll.BDP("UKGRABIy INDEX","PX LAST")</f>
        <v>6.6</v>
      </c>
      <c r="O19" s="15">
        <f>_xll.BDP("UKrpyoy INDEX","PX LAST")</f>
        <v>9</v>
      </c>
      <c r="P19" s="15">
        <f>_xll.BDP("ehupgb index","px last")</f>
        <v>4.13</v>
      </c>
      <c r="Q19" s="49">
        <f>_xll.BDP("gddbuk index","px last")</f>
        <v>75.599999999999994</v>
      </c>
      <c r="R19" s="15">
        <f>_xll.BDP("ehbbgb INDEX","PX LAST")</f>
        <v>-7.63</v>
      </c>
      <c r="S19" s="15">
        <f>_xll.BDP("ehcagb INDEX","PX LAST")</f>
        <v>-2.59</v>
      </c>
      <c r="T19" s="15"/>
      <c r="U19" s="7">
        <f>_xll.BDP("EOukU006 INDEX","PX LAST")</f>
        <v>95.763000000000005</v>
      </c>
      <c r="AC19" s="49">
        <f t="shared" ref="AC19:AC25" si="14">+IF(N18&gt;N$5,1,0)</f>
        <v>0</v>
      </c>
      <c r="AD19" s="49">
        <f t="shared" ref="AD19:AD25" si="15">+IF(O18&lt;O$5,1,0)</f>
        <v>1</v>
      </c>
      <c r="AE19" s="49">
        <f t="shared" ref="AE19:AE25" si="16">+IF(P18&lt;P$5,1,0)</f>
        <v>1</v>
      </c>
      <c r="AF19" s="49">
        <f t="shared" ref="AF19:AF25" si="17">+IF(Q18&lt;Q$5,1,0)</f>
        <v>1</v>
      </c>
      <c r="AG19" s="49">
        <f t="shared" ref="AG19:AG25" si="18">+IF(R18&lt;R$5,1,0)</f>
        <v>0</v>
      </c>
      <c r="AH19" s="49">
        <f t="shared" si="12"/>
        <v>1</v>
      </c>
      <c r="AI19" s="49">
        <f t="shared" ref="AI19:AI25" si="19">+IF(T18&lt;T$5,1,0)</f>
        <v>1</v>
      </c>
    </row>
    <row r="20" spans="5:35" s="46" customFormat="1" x14ac:dyDescent="0.25">
      <c r="E20" s="47"/>
      <c r="F20" s="46" t="s">
        <v>187</v>
      </c>
      <c r="G20" s="52">
        <f>+_xll.BDP(F20, "px last")</f>
        <v>2.9336000000000002</v>
      </c>
      <c r="H20" s="52">
        <f>+SUM(AC20:AI20)</f>
        <v>5</v>
      </c>
      <c r="I20" s="48" t="s">
        <v>1</v>
      </c>
      <c r="J20" s="49">
        <f>_xll.BDP("wgdpus index","px last")</f>
        <v>20953.03</v>
      </c>
      <c r="K20" s="50">
        <f>+J20/_xll.BDP("wgdpeur index","px last")</f>
        <v>1.609166051060863</v>
      </c>
      <c r="L20" s="51">
        <v>313.08999999999997</v>
      </c>
      <c r="M20" s="49">
        <f t="shared" si="13"/>
        <v>66.923344725158898</v>
      </c>
      <c r="N20" s="15">
        <f>_xll.BDP("gdp cyoy index","px last")</f>
        <v>5.5</v>
      </c>
      <c r="O20" s="15">
        <f>_xll.BDP("gdp dyoy index","px last")</f>
        <v>5.9</v>
      </c>
      <c r="P20" s="15">
        <f>_xll.BDP("ehupus index","px last")</f>
        <v>3.8</v>
      </c>
      <c r="Q20" s="49">
        <f>_xll.BDP("gddbunst index","px last")</f>
        <v>82.3</v>
      </c>
      <c r="R20" s="15">
        <f>_xll.BDP("ehbbus INDEX","PX LAST")</f>
        <v>-7.24</v>
      </c>
      <c r="S20" s="15">
        <f>_xll.BDP("ehcaus INDEX","PX LAST")</f>
        <v>-3.42</v>
      </c>
      <c r="T20" s="15"/>
      <c r="U20" s="7">
        <f>_xll.BDP("EOusU006 INDEX","PX LAST")</f>
        <v>111.821</v>
      </c>
      <c r="AC20" s="49">
        <f t="shared" si="14"/>
        <v>1</v>
      </c>
      <c r="AD20" s="49">
        <f t="shared" si="15"/>
        <v>0</v>
      </c>
      <c r="AE20" s="49">
        <f t="shared" si="16"/>
        <v>1</v>
      </c>
      <c r="AF20" s="49">
        <f t="shared" si="17"/>
        <v>1</v>
      </c>
      <c r="AG20" s="49">
        <f t="shared" si="18"/>
        <v>1</v>
      </c>
      <c r="AH20" s="49">
        <f t="shared" si="12"/>
        <v>0</v>
      </c>
      <c r="AI20" s="49">
        <f t="shared" si="19"/>
        <v>1</v>
      </c>
    </row>
    <row r="21" spans="5:35" s="46" customFormat="1" x14ac:dyDescent="0.25">
      <c r="E21" s="47"/>
      <c r="F21" s="46" t="s">
        <v>215</v>
      </c>
      <c r="G21" s="52">
        <f>+_xll.BDP(F21, "px last")</f>
        <v>0.25</v>
      </c>
      <c r="H21" s="52">
        <f>+SUM(AC21:AI21)</f>
        <v>6</v>
      </c>
      <c r="I21" s="48" t="s">
        <v>4</v>
      </c>
      <c r="J21" s="49">
        <f>_xll.BDP("wgdpjap index","px last")</f>
        <v>5057.759</v>
      </c>
      <c r="K21" s="50">
        <f>+J21/_xll.BDP("wgdpeur index","px last")</f>
        <v>0.38842945756520841</v>
      </c>
      <c r="L21" s="51">
        <v>125.91</v>
      </c>
      <c r="M21" s="49">
        <f t="shared" si="13"/>
        <v>40.169637042331829</v>
      </c>
      <c r="N21" s="15">
        <f>_xll.BDP("JGDPNSAQ index","PX last")</f>
        <v>0.4</v>
      </c>
      <c r="O21" s="15">
        <f>_xll.BDP("jncpiyoy INDEX","px last")</f>
        <v>1.2</v>
      </c>
      <c r="P21" s="15">
        <f>_xll.BDP("ehupjp index","px last")</f>
        <v>2.73</v>
      </c>
      <c r="Q21" s="49">
        <f>_xll.BDP("gddbjap index","px last")</f>
        <v>236.4</v>
      </c>
      <c r="R21" s="15">
        <f>_xll.BDP("ehbbjpy INDEX","PX LAST")</f>
        <v>-6.36</v>
      </c>
      <c r="S21" s="15">
        <f>_xll.BDP("ehcajp INDEX","PX LAST")</f>
        <v>2.86</v>
      </c>
      <c r="T21" s="15"/>
      <c r="U21" s="7">
        <f>_xll.BDP("EOjpU006 INDEX","PX LAST")</f>
        <v>99.477000000000004</v>
      </c>
      <c r="AC21" s="49">
        <f t="shared" si="14"/>
        <v>1</v>
      </c>
      <c r="AD21" s="49">
        <f t="shared" si="15"/>
        <v>1</v>
      </c>
      <c r="AE21" s="49">
        <f t="shared" si="16"/>
        <v>1</v>
      </c>
      <c r="AF21" s="49">
        <f t="shared" si="17"/>
        <v>1</v>
      </c>
      <c r="AG21" s="49">
        <f t="shared" si="18"/>
        <v>1</v>
      </c>
      <c r="AH21" s="49">
        <f t="shared" si="12"/>
        <v>0</v>
      </c>
      <c r="AI21" s="49">
        <f t="shared" si="19"/>
        <v>1</v>
      </c>
    </row>
    <row r="22" spans="5:35" s="46" customFormat="1" x14ac:dyDescent="0.25">
      <c r="F22" s="48"/>
      <c r="G22" s="52"/>
      <c r="H22" s="52">
        <f t="shared" ref="H22:H23" si="20">+SUM(AC22:AI22)</f>
        <v>5</v>
      </c>
      <c r="I22" s="48" t="s">
        <v>6</v>
      </c>
      <c r="J22" s="49">
        <f>_xll.BDP("wgdpchin index","px last")</f>
        <v>14722.731</v>
      </c>
      <c r="K22" s="50">
        <f>+J22/_xll.BDP("wgdpeur index","px last")</f>
        <v>1.1306870130048661</v>
      </c>
      <c r="L22" s="51">
        <v>1400</v>
      </c>
      <c r="M22" s="49">
        <f t="shared" si="13"/>
        <v>10.516236428571428</v>
      </c>
      <c r="N22" s="15">
        <f>_xll.BDP("CNGDPYOY INDEX","PX LAST")</f>
        <v>4.8</v>
      </c>
      <c r="O22" s="15">
        <f>_xll.BDP("cncpiyoy INDEX","PX LAST")</f>
        <v>1.5</v>
      </c>
      <c r="P22" s="15">
        <f>_xll.BDP("ehupcn index","px last")</f>
        <v>3.96</v>
      </c>
      <c r="Q22" s="49">
        <f>_xll.BDP("gddbchina index","px last")</f>
        <v>47.8</v>
      </c>
      <c r="R22" s="15">
        <f>_xll.BDP("ehbbcny INDEX","PX LAST")</f>
        <v>-3.83</v>
      </c>
      <c r="S22" s="15">
        <f>_xll.BDP("ehcacn INDEX","PX LAST")</f>
        <v>1.77</v>
      </c>
      <c r="T22" s="15"/>
      <c r="U22" s="7">
        <f>_xll.BDP("EOcnU003 INDEX","PX LAST")</f>
        <v>102.48399999999999</v>
      </c>
      <c r="AC22" s="49">
        <f t="shared" si="14"/>
        <v>0</v>
      </c>
      <c r="AD22" s="49">
        <f t="shared" si="15"/>
        <v>1</v>
      </c>
      <c r="AE22" s="49">
        <f t="shared" si="16"/>
        <v>1</v>
      </c>
      <c r="AF22" s="49">
        <f t="shared" si="17"/>
        <v>0</v>
      </c>
      <c r="AG22" s="49">
        <f t="shared" si="18"/>
        <v>1</v>
      </c>
      <c r="AH22" s="49">
        <f t="shared" si="12"/>
        <v>1</v>
      </c>
      <c r="AI22" s="49">
        <f t="shared" si="19"/>
        <v>1</v>
      </c>
    </row>
    <row r="23" spans="5:35" s="46" customFormat="1" x14ac:dyDescent="0.25">
      <c r="F23" s="48"/>
      <c r="G23" s="52"/>
      <c r="H23" s="52">
        <f t="shared" si="20"/>
        <v>5</v>
      </c>
      <c r="I23" s="48" t="s">
        <v>199</v>
      </c>
      <c r="J23" s="49">
        <f>_xll.BDP("wgdpindi index","px last")</f>
        <v>2660.2449999999999</v>
      </c>
      <c r="K23" s="50">
        <f>+J23/_xll.BDP("wgdpeur index","px last")</f>
        <v>0.20430343208139373</v>
      </c>
      <c r="L23" s="51">
        <v>1400</v>
      </c>
      <c r="M23" s="49">
        <f t="shared" si="13"/>
        <v>1.9001749999999999</v>
      </c>
      <c r="N23" s="15">
        <f>_xll.BDP("GDPGAIND INDEX","PX LAST")</f>
        <v>-7.25</v>
      </c>
      <c r="O23" s="15">
        <f>_xll.BDP("INFUTOTy INDEX","PX LAST")</f>
        <v>6.95</v>
      </c>
      <c r="P23" s="15">
        <f>_xll.BDP("INURRATE index","px last")</f>
        <v>4.9000000000000004</v>
      </c>
      <c r="Q23" s="49">
        <f>_xll.BDP("gddbINDA index","px last")</f>
        <v>70.2</v>
      </c>
      <c r="R23" s="15">
        <f>_xll.BDP("ehbbIN INDEX","PX LAST")</f>
        <v>-6.23</v>
      </c>
      <c r="S23" s="15">
        <f>_xll.BDP("ehcaIN INDEX","PX LAST")</f>
        <v>-1.1200000000000001</v>
      </c>
      <c r="T23" s="15"/>
      <c r="U23" s="7">
        <f>_xll.BDP("EOinU003 INDEX","PX LAST")</f>
        <v>73.241399999999999</v>
      </c>
      <c r="AC23" s="49">
        <f t="shared" si="14"/>
        <v>1</v>
      </c>
      <c r="AD23" s="49">
        <f t="shared" si="15"/>
        <v>1</v>
      </c>
      <c r="AE23" s="49">
        <f t="shared" si="16"/>
        <v>1</v>
      </c>
      <c r="AF23" s="49">
        <f t="shared" si="17"/>
        <v>1</v>
      </c>
      <c r="AG23" s="49">
        <f t="shared" si="18"/>
        <v>0</v>
      </c>
      <c r="AH23" s="49">
        <f t="shared" si="12"/>
        <v>0</v>
      </c>
      <c r="AI23" s="49">
        <f t="shared" si="19"/>
        <v>1</v>
      </c>
    </row>
    <row r="24" spans="5:35" s="46" customFormat="1" x14ac:dyDescent="0.25">
      <c r="F24" s="48"/>
      <c r="G24" s="52"/>
      <c r="H24" s="52">
        <f t="shared" ref="H24" si="21">+SUM(AC24:AI24)</f>
        <v>5</v>
      </c>
      <c r="I24" s="48" t="s">
        <v>404</v>
      </c>
      <c r="J24" s="49">
        <f>_xll.BDP("wgdpBRA index","px last")</f>
        <v>1444.7329999999999</v>
      </c>
      <c r="K24" s="50">
        <f>+J24/_xll.BDP("wgdpeur index","px last")</f>
        <v>0.11095365665239412</v>
      </c>
      <c r="L24" s="51">
        <v>210</v>
      </c>
      <c r="M24" s="49">
        <f t="shared" si="13"/>
        <v>6.8796809523809523</v>
      </c>
      <c r="N24" s="15">
        <f>_xll.BDP("GDPGABRA INDEX","PX LAST")</f>
        <v>-4.0599999999999996</v>
      </c>
      <c r="O24" s="15">
        <f>_xll.BDP("BZPIIPCY INDEX","px last")</f>
        <v>11.3</v>
      </c>
      <c r="P24" s="15">
        <f>_xll.BDP("ehupBR index","px last")</f>
        <v>11.2</v>
      </c>
      <c r="Q24" s="49">
        <f>_xll.BDP("gddbBRA index","px last")</f>
        <v>84</v>
      </c>
      <c r="R24" s="15">
        <f>_xll.BDP("ehbbBR INDEX","PX LAST")</f>
        <v>-3.62</v>
      </c>
      <c r="S24" s="15">
        <f>_xll.BDP("ehcaBR INDEX","PX LAST")</f>
        <v>-1.8199999999999998</v>
      </c>
      <c r="T24" s="15"/>
      <c r="U24" s="7">
        <f>_xll.BDP("EObrU003 INDEX","PX LAST")</f>
        <v>73.731999999999999</v>
      </c>
      <c r="AC24" s="49">
        <f t="shared" si="14"/>
        <v>0</v>
      </c>
      <c r="AD24" s="49">
        <f t="shared" si="15"/>
        <v>1</v>
      </c>
      <c r="AE24" s="49">
        <f t="shared" si="16"/>
        <v>1</v>
      </c>
      <c r="AF24" s="49">
        <f t="shared" si="17"/>
        <v>1</v>
      </c>
      <c r="AG24" s="49">
        <f t="shared" si="18"/>
        <v>1</v>
      </c>
      <c r="AH24" s="49">
        <f t="shared" si="12"/>
        <v>0</v>
      </c>
      <c r="AI24" s="49">
        <f t="shared" si="19"/>
        <v>1</v>
      </c>
    </row>
    <row r="25" spans="5:35" s="46" customFormat="1" x14ac:dyDescent="0.25">
      <c r="F25" s="48"/>
      <c r="G25" s="52"/>
      <c r="H25" s="52"/>
      <c r="I25" s="52"/>
      <c r="U25" s="7"/>
      <c r="AC25" s="49">
        <f t="shared" si="14"/>
        <v>0</v>
      </c>
      <c r="AD25" s="49">
        <f t="shared" si="15"/>
        <v>0</v>
      </c>
      <c r="AE25" s="49">
        <f t="shared" si="16"/>
        <v>0</v>
      </c>
      <c r="AF25" s="49">
        <f t="shared" si="17"/>
        <v>1</v>
      </c>
      <c r="AG25" s="49">
        <f t="shared" si="18"/>
        <v>0</v>
      </c>
      <c r="AH25" s="49">
        <f t="shared" si="12"/>
        <v>0</v>
      </c>
      <c r="AI25" s="49">
        <f t="shared" si="19"/>
        <v>1</v>
      </c>
    </row>
    <row r="26" spans="5:35" s="46" customFormat="1" x14ac:dyDescent="0.25">
      <c r="F26" s="48"/>
      <c r="G26" s="52"/>
      <c r="H26" s="52"/>
      <c r="I26" s="52"/>
      <c r="U26" s="7"/>
      <c r="AC26" s="47"/>
      <c r="AD26" s="47"/>
      <c r="AE26" s="47"/>
      <c r="AF26" s="47"/>
      <c r="AG26" s="47"/>
      <c r="AH26" s="47"/>
      <c r="AI26" s="47"/>
    </row>
    <row r="27" spans="5:35" s="46" customFormat="1" x14ac:dyDescent="0.25">
      <c r="F27" s="46" t="s">
        <v>207</v>
      </c>
      <c r="G27" s="52">
        <f>+_xll.BDP(F27, "px last")</f>
        <v>2.887</v>
      </c>
      <c r="H27" s="52">
        <f>+SUM(AC27:AI27)</f>
        <v>4</v>
      </c>
      <c r="I27" s="48" t="s">
        <v>405</v>
      </c>
      <c r="J27" s="49">
        <f>_xll.BDP("wgdpCAN index","px last")</f>
        <v>1645.423</v>
      </c>
      <c r="K27" s="50">
        <f>+J27/_xll.BDP("wgdpeur index","px last")</f>
        <v>0.12636639336815336</v>
      </c>
      <c r="L27" s="51">
        <v>36.5</v>
      </c>
      <c r="M27" s="49">
        <f t="shared" si="13"/>
        <v>45.080082191780825</v>
      </c>
      <c r="N27" s="15">
        <f>_xll.BDP("GDPGAcan INDEX","PX LAST")</f>
        <v>-5.23</v>
      </c>
      <c r="O27" s="15">
        <f>_xll.BDP("CNcpiyoy INDEX","PX LAST")</f>
        <v>1.5</v>
      </c>
      <c r="P27" s="15">
        <f>_xll.BDP("ehupCA index","px last")</f>
        <v>5.77</v>
      </c>
      <c r="Q27" s="49">
        <f>_xll.BDP("gddbCAN index","px last")</f>
        <v>89.7</v>
      </c>
      <c r="R27" s="15">
        <f>_xll.BDP("ehbbCAY INDEX","PX LAST")</f>
        <v>-12.62</v>
      </c>
      <c r="S27" s="15">
        <f>_xll.BDP("ehcaCAY INDEX","PX LAST")</f>
        <v>0.06</v>
      </c>
      <c r="T27" s="15"/>
      <c r="U27" s="7">
        <f>_xll.BDP("EOcaU006 INDEX","PX LAST")</f>
        <v>100.473</v>
      </c>
      <c r="AC27" s="49">
        <f>+IF(N26&gt;N$5,1,0)</f>
        <v>0</v>
      </c>
      <c r="AD27" s="49">
        <f>+IF(O26&lt;O$5,1,0)</f>
        <v>1</v>
      </c>
      <c r="AE27" s="49">
        <f>+IF(P26&lt;P$5,1,0)</f>
        <v>1</v>
      </c>
      <c r="AF27" s="49">
        <f>+IF(Q26&lt;Q$5,1,0)</f>
        <v>1</v>
      </c>
      <c r="AG27" s="49">
        <f>+IF(R26&lt;R$5,1,0)</f>
        <v>0</v>
      </c>
      <c r="AH27" s="49">
        <f t="shared" ref="AH27:AH31" si="22">+IF(S26&gt;S$5,1,0)</f>
        <v>0</v>
      </c>
      <c r="AI27" s="49">
        <f>+IF(T26&lt;T$5,1,0)</f>
        <v>1</v>
      </c>
    </row>
    <row r="28" spans="5:35" s="46" customFormat="1" x14ac:dyDescent="0.25">
      <c r="F28" s="46" t="s">
        <v>214</v>
      </c>
      <c r="G28" s="52">
        <f>+_xll.BDP(F28, "px last")</f>
        <v>1.63</v>
      </c>
      <c r="H28" s="52">
        <f>+SUM(AC28:AI28)</f>
        <v>5</v>
      </c>
      <c r="I28" s="48" t="s">
        <v>406</v>
      </c>
      <c r="J28" s="49">
        <f>_xll.BDP("wgdpSWE index","px last")</f>
        <v>541.22</v>
      </c>
      <c r="K28" s="50">
        <f>+J28/_xll.BDP("wgdpeur index","px last")</f>
        <v>4.1565007550466937E-2</v>
      </c>
      <c r="L28" s="51">
        <v>10</v>
      </c>
      <c r="M28" s="49">
        <f t="shared" si="13"/>
        <v>54.122</v>
      </c>
      <c r="N28" s="15">
        <f>_xll.BDP("GDPGAswe INDEX","PX LAST")</f>
        <v>-2.95</v>
      </c>
      <c r="O28" s="15">
        <f>_xll.BDP("SWcpiyoy INDEX","PX LAST")</f>
        <v>5.97</v>
      </c>
      <c r="P28" s="15">
        <f>_xll.BDP("ehupSE index","px last")</f>
        <v>7.47</v>
      </c>
      <c r="Q28" s="49">
        <f>_xll.BDP("gddbSWE index","px last")</f>
        <v>40.9</v>
      </c>
      <c r="R28" s="15">
        <f>_xll.BDP("ehbbSEy INDEX","PX LAST")</f>
        <v>0.56000000000000005</v>
      </c>
      <c r="S28" s="15">
        <f>_xll.BDP("ehcaSEy INDEX","PX LAST")</f>
        <v>5.5</v>
      </c>
      <c r="T28" s="15"/>
      <c r="U28" s="7">
        <f>_xll.BDP("EOseU006 INDEX","PX LAST")</f>
        <v>99.808999999999997</v>
      </c>
      <c r="AC28" s="49">
        <f t="shared" ref="AC28:AC31" si="23">+IF(N27&gt;N$5,1,0)</f>
        <v>0</v>
      </c>
      <c r="AD28" s="49">
        <f t="shared" ref="AD28:AD31" si="24">+IF(O27&lt;O$5,1,0)</f>
        <v>1</v>
      </c>
      <c r="AE28" s="49">
        <f t="shared" ref="AE28:AE31" si="25">+IF(P27&lt;P$5,1,0)</f>
        <v>1</v>
      </c>
      <c r="AF28" s="49">
        <f t="shared" ref="AF28:AF31" si="26">+IF(Q27&lt;Q$5,1,0)</f>
        <v>1</v>
      </c>
      <c r="AG28" s="49">
        <f t="shared" ref="AG28:AG31" si="27">+IF(R27&lt;R$5,1,0)</f>
        <v>1</v>
      </c>
      <c r="AH28" s="49">
        <f t="shared" si="22"/>
        <v>0</v>
      </c>
      <c r="AI28" s="49">
        <f t="shared" ref="AI28:AI31" si="28">+IF(T27&lt;T$5,1,0)</f>
        <v>1</v>
      </c>
    </row>
    <row r="29" spans="5:35" s="46" customFormat="1" x14ac:dyDescent="0.25">
      <c r="F29" s="46" t="s">
        <v>216</v>
      </c>
      <c r="G29" s="52">
        <f>+_xll.BDP(F29, "px last")</f>
        <v>3.13</v>
      </c>
      <c r="H29" s="52">
        <f>+SUM(AC29:AI29)</f>
        <v>4</v>
      </c>
      <c r="I29" s="48" t="s">
        <v>16</v>
      </c>
      <c r="J29" s="49">
        <f>_xll.BDP("wgdpaST index","px last")</f>
        <v>433.25799999999998</v>
      </c>
      <c r="K29" s="50">
        <f>+J29/_xll.BDP("wgdpeur index","px last")</f>
        <v>3.3273663281660329E-2</v>
      </c>
      <c r="L29" s="51">
        <v>9</v>
      </c>
      <c r="M29" s="49">
        <f t="shared" si="13"/>
        <v>48.139777777777773</v>
      </c>
      <c r="N29" s="15">
        <f>_xll.BDP("GDPGAaus INDEX","PX LAST")</f>
        <v>0</v>
      </c>
      <c r="O29" s="15">
        <f>_xll.BDP("AUcpiyoy INDEX","PX LAST")</f>
        <v>3.5</v>
      </c>
      <c r="P29" s="15">
        <f>_xll.BDP("ehupAU index","px last")</f>
        <v>4.07</v>
      </c>
      <c r="Q29" s="49">
        <f>_xll.BDP("gddbAUSL index","px last")</f>
        <v>41.6</v>
      </c>
      <c r="R29" s="15">
        <f>_xll.BDP("ehbbAUy INDEX","PX LAST")</f>
        <v>-0.09</v>
      </c>
      <c r="S29" s="15">
        <f>_xll.BDP("ehcaAUy INDEX","PX LAST")</f>
        <v>0.6</v>
      </c>
      <c r="T29" s="15"/>
      <c r="U29" s="7">
        <f>_xll.BDP("EOauU006 INDEX","PX LAST")</f>
        <v>99.257999999999996</v>
      </c>
      <c r="AC29" s="49">
        <f t="shared" si="23"/>
        <v>0</v>
      </c>
      <c r="AD29" s="49">
        <f t="shared" si="24"/>
        <v>1</v>
      </c>
      <c r="AE29" s="49">
        <f t="shared" si="25"/>
        <v>0</v>
      </c>
      <c r="AF29" s="49">
        <f t="shared" si="26"/>
        <v>1</v>
      </c>
      <c r="AG29" s="49">
        <f t="shared" si="27"/>
        <v>0</v>
      </c>
      <c r="AH29" s="49">
        <f t="shared" si="22"/>
        <v>1</v>
      </c>
      <c r="AI29" s="49">
        <f t="shared" si="28"/>
        <v>1</v>
      </c>
    </row>
    <row r="30" spans="5:35" s="46" customFormat="1" x14ac:dyDescent="0.25">
      <c r="F30" s="46" t="s">
        <v>217</v>
      </c>
      <c r="G30" s="52">
        <f>+_xll.BDP(F30, "px last")</f>
        <v>3.58</v>
      </c>
      <c r="H30" s="52">
        <f>+SUM(AC30:AI30)</f>
        <v>4</v>
      </c>
      <c r="I30" s="48" t="s">
        <v>197</v>
      </c>
      <c r="J30" s="49">
        <f>_xll.BDP("wgdpNEWZ index","px last")</f>
        <v>210.70099999999999</v>
      </c>
      <c r="K30" s="50">
        <f>+J30/_xll.BDP("wgdpeur index","px last")</f>
        <v>1.6181568781439958E-2</v>
      </c>
      <c r="L30" s="51">
        <v>5</v>
      </c>
      <c r="M30" s="49">
        <f t="shared" si="13"/>
        <v>42.1402</v>
      </c>
      <c r="N30" s="15">
        <f>_xll.BDP("GDPGAnz INDEX","PX LAST")</f>
        <v>1.8599999999999999</v>
      </c>
      <c r="O30" s="15">
        <f>_xll.BDP("NZcpiyoy INDEX","PX LAST")</f>
        <v>6.9</v>
      </c>
      <c r="P30" s="15">
        <f>_xll.BDP("ehupNZ index","px last")</f>
        <v>3.2</v>
      </c>
      <c r="Q30" s="49">
        <f>_xll.BDP("gddbNWZD index","px last")</f>
        <v>26.4</v>
      </c>
      <c r="R30" s="15">
        <f>_xll.BDP("ehbbNZy INDEX","PX LAST")</f>
        <v>-3.58</v>
      </c>
      <c r="S30" s="15">
        <f>_xll.BDP("ehcaNZy INDEX","PX LAST")</f>
        <v>-3.35</v>
      </c>
      <c r="T30" s="15"/>
      <c r="U30" s="7">
        <f>_xll.BDP("EOnzU006 INDEX","PX LAST")</f>
        <v>105.321</v>
      </c>
      <c r="AC30" s="49">
        <f t="shared" si="23"/>
        <v>0</v>
      </c>
      <c r="AD30" s="49">
        <f t="shared" si="24"/>
        <v>1</v>
      </c>
      <c r="AE30" s="49">
        <f t="shared" si="25"/>
        <v>1</v>
      </c>
      <c r="AF30" s="49">
        <f t="shared" si="26"/>
        <v>1</v>
      </c>
      <c r="AG30" s="49">
        <f t="shared" si="27"/>
        <v>0</v>
      </c>
      <c r="AH30" s="49">
        <f t="shared" si="22"/>
        <v>0</v>
      </c>
      <c r="AI30" s="49">
        <f t="shared" si="28"/>
        <v>1</v>
      </c>
    </row>
    <row r="31" spans="5:35" s="46" customFormat="1" x14ac:dyDescent="0.25">
      <c r="F31" s="46" t="s">
        <v>219</v>
      </c>
      <c r="G31" s="52">
        <f>+_xll.BDP(F31, "px last")</f>
        <v>3.31</v>
      </c>
      <c r="H31" s="52">
        <f>+SUM(AC31:AI31)</f>
        <v>4</v>
      </c>
      <c r="I31" s="48" t="s">
        <v>407</v>
      </c>
      <c r="J31" s="49">
        <f>_xll.BDP("wgdpKORE index","px last")</f>
        <v>1637.896</v>
      </c>
      <c r="K31" s="50">
        <f>+J31/_xll.BDP("wgdpeur index","px last")</f>
        <v>0.12578832934274342</v>
      </c>
      <c r="L31" s="51">
        <v>50</v>
      </c>
      <c r="M31" s="49">
        <f t="shared" si="13"/>
        <v>32.757919999999999</v>
      </c>
      <c r="N31" s="15">
        <f>_xll.BDP("GDPGAko INDEX","PX LAST")</f>
        <v>-0.85</v>
      </c>
      <c r="O31" s="15">
        <f>_xll.BDP("KOcpiyoy INDEX","PX LAST")</f>
        <v>4.0999999999999996</v>
      </c>
      <c r="P31" s="15">
        <f>_xll.BDP("ehupKR index","px last")</f>
        <v>3</v>
      </c>
      <c r="Q31" s="49">
        <f>_xll.BDP("gddbSOKO index","px last")</f>
        <v>39.799999999999997</v>
      </c>
      <c r="R31" s="15">
        <f>_xll.BDP("ehbbKRy INDEX","PX LAST")</f>
        <v>0.96</v>
      </c>
      <c r="S31" s="15">
        <f>_xll.BDP("ehcaKRy INDEX","PX LAST")</f>
        <v>3.61</v>
      </c>
      <c r="T31" s="15"/>
      <c r="U31" s="7">
        <f>_xll.BDP("EOkoU006 INDEX","PX LAST")</f>
        <v>91.561999999999998</v>
      </c>
      <c r="AC31" s="49">
        <f t="shared" si="23"/>
        <v>0</v>
      </c>
      <c r="AD31" s="49">
        <f t="shared" si="24"/>
        <v>1</v>
      </c>
      <c r="AE31" s="49">
        <f t="shared" si="25"/>
        <v>1</v>
      </c>
      <c r="AF31" s="49">
        <f t="shared" si="26"/>
        <v>1</v>
      </c>
      <c r="AG31" s="49">
        <f t="shared" si="27"/>
        <v>0</v>
      </c>
      <c r="AH31" s="49">
        <f t="shared" si="22"/>
        <v>0</v>
      </c>
      <c r="AI31" s="49">
        <f t="shared" si="28"/>
        <v>1</v>
      </c>
    </row>
    <row r="32" spans="5:35" s="46" customFormat="1" x14ac:dyDescent="0.25">
      <c r="I32" s="48"/>
      <c r="L32"/>
      <c r="M32"/>
      <c r="N32"/>
      <c r="AC32" s="49"/>
      <c r="AD32" s="49"/>
      <c r="AE32" s="49"/>
      <c r="AF32" s="49"/>
      <c r="AG32" s="49"/>
      <c r="AH32" s="49"/>
      <c r="AI32" s="49"/>
    </row>
    <row r="33" spans="7:35" s="46" customFormat="1" x14ac:dyDescent="0.25">
      <c r="I33" s="48"/>
      <c r="L33"/>
      <c r="M33"/>
      <c r="AC33" s="49"/>
      <c r="AD33" s="49"/>
      <c r="AE33" s="49"/>
      <c r="AF33" s="49"/>
      <c r="AG33" s="49"/>
      <c r="AH33" s="49"/>
      <c r="AI33" s="49"/>
    </row>
    <row r="34" spans="7:35" s="46" customFormat="1" ht="12.75" x14ac:dyDescent="0.2">
      <c r="AC34" s="49"/>
      <c r="AD34" s="49"/>
      <c r="AE34" s="49"/>
      <c r="AF34" s="49"/>
      <c r="AG34" s="49"/>
      <c r="AH34" s="49"/>
      <c r="AI34" s="49"/>
    </row>
    <row r="35" spans="7:35" s="46" customFormat="1" ht="12.75" x14ac:dyDescent="0.2">
      <c r="I35" s="53"/>
    </row>
    <row r="36" spans="7:35" s="46" customFormat="1" x14ac:dyDescent="0.25">
      <c r="G36" s="54"/>
    </row>
    <row r="37" spans="7:35" s="46" customFormat="1" x14ac:dyDescent="0.25">
      <c r="G37" s="54"/>
    </row>
  </sheetData>
  <conditionalFormatting sqref="H7">
    <cfRule type="cellIs" dxfId="93" priority="3" operator="lessThan">
      <formula>3</formula>
    </cfRule>
    <cfRule type="cellIs" dxfId="92" priority="4" operator="greaterThan">
      <formula>3</formula>
    </cfRule>
  </conditionalFormatting>
  <conditionalFormatting sqref="H8:H14 H18:H24 H27:H31">
    <cfRule type="cellIs" dxfId="91" priority="1" operator="lessThan">
      <formula>3</formula>
    </cfRule>
    <cfRule type="cellIs" dxfId="90" priority="2" operator="greaterThan">
      <formula>3</formula>
    </cfRule>
  </conditionalFormatting>
  <pageMargins left="0.7" right="0.7" top="0.75" bottom="0.75" header="0.3" footer="0.3"/>
  <pageSetup scale="36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E226"/>
  <sheetViews>
    <sheetView showGridLines="0" workbookViewId="0">
      <selection activeCell="E37" sqref="E37"/>
    </sheetView>
  </sheetViews>
  <sheetFormatPr defaultColWidth="9.140625" defaultRowHeight="15" x14ac:dyDescent="0.25"/>
  <cols>
    <col min="1" max="1" width="12.7109375" style="11" customWidth="1"/>
    <col min="2" max="2" width="12.7109375" style="11" hidden="1" customWidth="1"/>
    <col min="3" max="3" width="12.7109375" style="11" customWidth="1"/>
    <col min="4" max="7" width="10.5703125" style="11" bestFit="1" customWidth="1"/>
    <col min="8" max="9" width="10.5703125" style="11" customWidth="1"/>
    <col min="10" max="10" width="10.5703125" style="11" bestFit="1" customWidth="1"/>
    <col min="11" max="11" width="16.42578125" style="11" bestFit="1" customWidth="1"/>
    <col min="12" max="12" width="15.28515625" style="11" hidden="1" customWidth="1"/>
    <col min="13" max="13" width="9.85546875" style="11" customWidth="1"/>
    <col min="14" max="18" width="10.5703125" style="11" bestFit="1" customWidth="1"/>
    <col min="19" max="19" width="11.140625" style="11" bestFit="1" customWidth="1"/>
    <col min="20" max="20" width="16" style="11" hidden="1" customWidth="1"/>
    <col min="21" max="21" width="15.140625" style="11" hidden="1" customWidth="1"/>
    <col min="22" max="22" width="8.85546875" style="11" customWidth="1"/>
    <col min="23" max="26" width="10" style="11" customWidth="1"/>
    <col min="27" max="30" width="9.140625" style="11"/>
    <col min="31" max="31" width="15.140625" style="11" bestFit="1" customWidth="1"/>
    <col min="32" max="32" width="9.140625" style="11"/>
    <col min="33" max="34" width="25.7109375" style="11" bestFit="1" customWidth="1"/>
    <col min="35" max="35" width="9.28515625" style="11" customWidth="1"/>
    <col min="36" max="36" width="9.140625" style="11"/>
    <col min="37" max="37" width="15.140625" style="11" bestFit="1" customWidth="1"/>
    <col min="38" max="38" width="9.140625" style="11"/>
    <col min="39" max="40" width="25.7109375" style="11" bestFit="1" customWidth="1"/>
    <col min="41" max="42" width="9.140625" style="11"/>
    <col min="43" max="43" width="15.140625" style="11" bestFit="1" customWidth="1"/>
    <col min="44" max="44" width="9.140625" style="11"/>
    <col min="45" max="46" width="25.7109375" style="11" bestFit="1" customWidth="1"/>
    <col min="47" max="48" width="9.140625" style="11"/>
    <col min="49" max="49" width="23.140625" style="11" bestFit="1" customWidth="1"/>
    <col min="50" max="16384" width="9.140625" style="11"/>
  </cols>
  <sheetData>
    <row r="1" spans="1:57" x14ac:dyDescent="0.25">
      <c r="A1" s="29" t="s">
        <v>188</v>
      </c>
      <c r="B1" s="29"/>
      <c r="K1" s="29" t="s">
        <v>223</v>
      </c>
      <c r="L1" s="29"/>
      <c r="AF1" s="11" t="s">
        <v>246</v>
      </c>
      <c r="AG1" s="11" t="s">
        <v>880</v>
      </c>
      <c r="AH1" s="11" t="s">
        <v>601</v>
      </c>
      <c r="AL1" s="11" t="s">
        <v>246</v>
      </c>
      <c r="AM1" s="11" t="s">
        <v>880</v>
      </c>
      <c r="AN1" s="11" t="s">
        <v>601</v>
      </c>
      <c r="AR1" s="11" t="s">
        <v>246</v>
      </c>
      <c r="AS1" s="11" t="s">
        <v>880</v>
      </c>
      <c r="AT1" s="11" t="s">
        <v>601</v>
      </c>
    </row>
    <row r="2" spans="1:57" x14ac:dyDescent="0.25">
      <c r="A2" s="36" t="s">
        <v>354</v>
      </c>
      <c r="B2" s="2"/>
      <c r="C2" s="35" t="s">
        <v>189</v>
      </c>
      <c r="D2" s="35" t="s">
        <v>190</v>
      </c>
      <c r="E2" s="35" t="s">
        <v>192</v>
      </c>
      <c r="F2" s="35" t="s">
        <v>193</v>
      </c>
      <c r="G2" s="35" t="s">
        <v>191</v>
      </c>
      <c r="H2" s="78"/>
      <c r="I2" s="78"/>
      <c r="K2" s="36" t="s">
        <v>354</v>
      </c>
      <c r="L2" s="2"/>
      <c r="M2" s="35" t="s">
        <v>355</v>
      </c>
      <c r="N2" s="35" t="s">
        <v>190</v>
      </c>
      <c r="O2" s="35" t="s">
        <v>192</v>
      </c>
      <c r="P2" s="35" t="s">
        <v>193</v>
      </c>
      <c r="Q2" s="35" t="s">
        <v>191</v>
      </c>
      <c r="AE2" t="s">
        <v>517</v>
      </c>
      <c r="AF2" s="11" cm="1">
        <f t="array" ref="AF2">+_xll.BDP(AE2,AF$1)</f>
        <v>-9.0690690000000007</v>
      </c>
      <c r="AG2" s="11" t="str" cm="1">
        <f t="array" ref="AG2">+_xll.BDP(AE2,AG$1)</f>
        <v>Consumer Discretionary</v>
      </c>
      <c r="AH2" s="11" t="str" cm="1">
        <f t="array" ref="AH2">+_xll.BDP(AE2,AH$1)</f>
        <v>Entertainment</v>
      </c>
      <c r="AK2" t="s">
        <v>661</v>
      </c>
      <c r="AL2" s="11" cm="1">
        <f t="array" ref="AL2">+_xll.BDP(AK2,AL$1)</f>
        <v>140.44390000000001</v>
      </c>
      <c r="AM2" s="11" t="str" cm="1">
        <f t="array" ref="AM2">+_xll.BDP(AK2,AM$1)</f>
        <v>Industrials</v>
      </c>
      <c r="AN2" s="11" t="str" cm="1">
        <f t="array" ref="AN2">+_xll.BDP(AK2,AN$1)</f>
        <v>Transportation</v>
      </c>
      <c r="AQ2" t="s">
        <v>630</v>
      </c>
      <c r="AR2" s="11" cm="1">
        <f t="array" ref="AR2">+_xll.BDP(AQ2,AR$1)</f>
        <v>-40.20946</v>
      </c>
      <c r="AS2" s="11" t="str" cm="1">
        <f t="array" ref="AS2">+_xll.BDP(AQ2,AS$1)</f>
        <v>Consumer Discretionary</v>
      </c>
      <c r="AT2" s="11" t="str" cm="1">
        <f t="array" ref="AT2">+_xll.BDP(AQ2,AT$1)</f>
        <v>Retail</v>
      </c>
      <c r="AY2"/>
      <c r="BE2"/>
    </row>
    <row r="3" spans="1:57" hidden="1" x14ac:dyDescent="0.25">
      <c r="A3" s="18"/>
      <c r="B3" s="18"/>
      <c r="C3" s="18" t="s">
        <v>186</v>
      </c>
      <c r="D3" s="18" t="s">
        <v>203</v>
      </c>
      <c r="E3" s="18" t="s">
        <v>204</v>
      </c>
      <c r="F3" s="18" t="s">
        <v>205</v>
      </c>
      <c r="G3" s="18" t="s">
        <v>206</v>
      </c>
      <c r="H3" s="78"/>
      <c r="I3" s="78"/>
      <c r="K3" s="18"/>
      <c r="L3" s="18"/>
      <c r="M3" s="18" t="s">
        <v>231</v>
      </c>
      <c r="N3" s="18" t="s">
        <v>244</v>
      </c>
      <c r="O3" s="18" t="s">
        <v>245</v>
      </c>
      <c r="P3" s="18" t="s">
        <v>246</v>
      </c>
      <c r="Q3" s="18" t="s">
        <v>247</v>
      </c>
      <c r="AE3" t="s">
        <v>501</v>
      </c>
      <c r="AF3" s="11" cm="1">
        <f t="array" ref="AF3">+_xll.BDP(AE3,AF$1)</f>
        <v>-25.01746</v>
      </c>
      <c r="AG3" s="11" t="str" cm="1">
        <f t="array" ref="AG3">+_xll.BDP(AE3,AG$1)</f>
        <v>Industrials</v>
      </c>
      <c r="AH3" s="11" t="str" cm="1">
        <f t="array" ref="AH3">+_xll.BDP(AE3,AH$1)</f>
        <v>Airlines</v>
      </c>
      <c r="AK3" t="s">
        <v>656</v>
      </c>
      <c r="AL3" s="11" cm="1">
        <f t="array" ref="AL3">+_xll.BDP(AK3,AL$1)</f>
        <v>153.73650000000001</v>
      </c>
      <c r="AM3" s="11" t="str" cm="1">
        <f t="array" ref="AM3">+_xll.BDP(AK3,AM$1)</f>
        <v>Industrials</v>
      </c>
      <c r="AN3" s="11" t="str" cm="1">
        <f t="array" ref="AN3">+_xll.BDP(AK3,AN$1)</f>
        <v>Transportation</v>
      </c>
      <c r="AQ3" t="s">
        <v>606</v>
      </c>
      <c r="AR3" s="11" cm="1">
        <f t="array" ref="AR3">+_xll.BDP(AQ3,AR$1)</f>
        <v>-32.543390000000002</v>
      </c>
      <c r="AS3" s="11" t="str" cm="1">
        <f t="array" ref="AS3">+_xll.BDP(AQ3,AS$1)</f>
        <v>Materials</v>
      </c>
      <c r="AT3" s="11" t="str" cm="1">
        <f t="array" ref="AT3">+_xll.BDP(AQ3,AT$1)</f>
        <v>Chemicals</v>
      </c>
      <c r="AY3"/>
      <c r="BE3"/>
    </row>
    <row r="4" spans="1:57" x14ac:dyDescent="0.25">
      <c r="A4" s="11" t="s">
        <v>1</v>
      </c>
      <c r="B4" s="11" t="s">
        <v>187</v>
      </c>
      <c r="C4" s="7">
        <f>+_xll.BDP($B4,C3)</f>
        <v>2.9336000000000002</v>
      </c>
      <c r="D4" s="7">
        <f>+_xll.BDP($B4,D$3)</f>
        <v>0.55110000000000003</v>
      </c>
      <c r="E4" s="7">
        <f>+_xll.BDP($B4,E$3)</f>
        <v>1.3012000000000001</v>
      </c>
      <c r="F4" s="7">
        <f>+_xll.BDP($B4,F$3)</f>
        <v>1.3956</v>
      </c>
      <c r="G4" s="7">
        <f>+_xll.BDP($B4,G$3)</f>
        <v>0.68559999999999999</v>
      </c>
      <c r="H4" s="78"/>
      <c r="I4" s="78"/>
      <c r="K4" s="11" t="s">
        <v>1</v>
      </c>
      <c r="L4" s="11" t="s">
        <v>224</v>
      </c>
      <c r="M4" s="7">
        <f>_xll.BDP($L4,$M$3)</f>
        <v>19.315060027908245</v>
      </c>
      <c r="N4" s="7">
        <f>+_xll.BDP($L4,N$3)</f>
        <v>-2.61436</v>
      </c>
      <c r="O4" s="7">
        <f>+_xll.BDP($L4,O$3)</f>
        <v>-3.32768</v>
      </c>
      <c r="P4" s="7">
        <f>+_xll.BDP($L4,P$3)</f>
        <v>6.2558990000000003</v>
      </c>
      <c r="Q4" s="7">
        <f>+_xll.BDP($L4,Q$3)</f>
        <v>87.068539999999999</v>
      </c>
      <c r="AE4" t="s">
        <v>522</v>
      </c>
      <c r="AF4" s="11" cm="1">
        <f t="array" ref="AF4">+_xll.BDP(AE4,AF$1)</f>
        <v>-16.71819</v>
      </c>
      <c r="AG4" s="11" t="str" cm="1">
        <f t="array" ref="AG4">+_xll.BDP(AE4,AG$1)</f>
        <v>Industrials</v>
      </c>
      <c r="AH4" s="11" t="str" cm="1">
        <f t="array" ref="AH4">+_xll.BDP(AE4,AH$1)</f>
        <v>Machinery-Constr&amp;Mining</v>
      </c>
      <c r="AK4" t="s">
        <v>659</v>
      </c>
      <c r="AL4" s="11" cm="1">
        <f t="array" ref="AL4">+_xll.BDP(AK4,AL$1)</f>
        <v>-15.140420000000001</v>
      </c>
      <c r="AM4" s="11" t="str" cm="1">
        <f t="array" ref="AM4">+_xll.BDP(AK4,AM$1)</f>
        <v>Industrials</v>
      </c>
      <c r="AN4" s="11" t="str" cm="1">
        <f t="array" ref="AN4">+_xll.BDP(AK4,AN$1)</f>
        <v>Environmental Control</v>
      </c>
      <c r="AQ4" t="s">
        <v>646</v>
      </c>
      <c r="AR4" s="11" cm="1">
        <f t="array" ref="AR4">+_xll.BDP(AQ4,AR$1)</f>
        <v>-5.7958749999999997</v>
      </c>
      <c r="AS4" s="11" t="str" cm="1">
        <f t="array" ref="AS4">+_xll.BDP(AQ4,AS$1)</f>
        <v>Consumer Staples</v>
      </c>
      <c r="AT4" s="11" t="str" cm="1">
        <f t="array" ref="AT4">+_xll.BDP(AQ4,AT$1)</f>
        <v>Beverages</v>
      </c>
      <c r="AY4"/>
      <c r="BE4"/>
    </row>
    <row r="5" spans="1:57" x14ac:dyDescent="0.25">
      <c r="A5" s="2" t="s">
        <v>17</v>
      </c>
      <c r="B5" s="2" t="s">
        <v>207</v>
      </c>
      <c r="C5" s="35">
        <f>+_xll.BDP($B5,C$3)</f>
        <v>2.887</v>
      </c>
      <c r="D5" s="35">
        <f>+_xll.BDP($B5,D$3)</f>
        <v>0.47</v>
      </c>
      <c r="E5" s="35">
        <f>+_xll.BDP($B5,E$3)</f>
        <v>1.236</v>
      </c>
      <c r="F5" s="35">
        <f>+_xll.BDP($B5,F$3)</f>
        <v>1.3719999999999999</v>
      </c>
      <c r="G5" s="35">
        <f>+_xll.BDP($B5,G$3)</f>
        <v>1.417</v>
      </c>
      <c r="H5" s="78"/>
      <c r="I5" s="78"/>
      <c r="K5" s="2" t="s">
        <v>17</v>
      </c>
      <c r="L5" s="2" t="s">
        <v>225</v>
      </c>
      <c r="M5" s="35">
        <f>_xll.BDP($L5,$M$3)</f>
        <v>13.70995924391897</v>
      </c>
      <c r="N5" s="35">
        <f>+_xll.BDP($L5,N$3)</f>
        <v>-1.920507</v>
      </c>
      <c r="O5" s="35">
        <f>+_xll.BDP($L5,O$3)</f>
        <v>2.0468359999999999</v>
      </c>
      <c r="P5" s="35">
        <f>+_xll.BDP($L5,P$3)</f>
        <v>13.76008</v>
      </c>
      <c r="Q5" s="35">
        <f>+_xll.BDP($L5,Q$3)</f>
        <v>38.65598</v>
      </c>
      <c r="AE5" t="s">
        <v>547</v>
      </c>
      <c r="AF5" s="11" cm="1">
        <f t="array" ref="AF5">+_xll.BDP(AE5,AF$1)</f>
        <v>-0.25466889999999998</v>
      </c>
      <c r="AG5" s="11" t="str" cm="1">
        <f t="array" ref="AG5">+_xll.BDP(AE5,AG$1)</f>
        <v>Industrials</v>
      </c>
      <c r="AH5" s="11" t="str" cm="1">
        <f t="array" ref="AH5">+_xll.BDP(AE5,AH$1)</f>
        <v>Commercial Services</v>
      </c>
      <c r="AK5" t="s">
        <v>709</v>
      </c>
      <c r="AL5" s="11" cm="1">
        <f t="array" ref="AL5">+_xll.BDP(AK5,AL$1)</f>
        <v>-46.425739999999998</v>
      </c>
      <c r="AM5" s="11" t="str" cm="1">
        <f t="array" ref="AM5">+_xll.BDP(AK5,AM$1)</f>
        <v>Communication Services</v>
      </c>
      <c r="AN5" s="11" t="str" cm="1">
        <f t="array" ref="AN5">+_xll.BDP(AK5,AN$1)</f>
        <v>Telecommunications</v>
      </c>
      <c r="AQ5" t="s">
        <v>605</v>
      </c>
      <c r="AR5" s="11" cm="1">
        <f t="array" ref="AR5">+_xll.BDP(AQ5,AR$1)</f>
        <v>-4.2048329999999998</v>
      </c>
      <c r="AS5" s="11" t="str" cm="1">
        <f t="array" ref="AS5">+_xll.BDP(AQ5,AS$1)</f>
        <v>Information Technology</v>
      </c>
      <c r="AT5" s="11" t="str" cm="1">
        <f t="array" ref="AT5">+_xll.BDP(AQ5,AT$1)</f>
        <v>Energy-Alternate Sources</v>
      </c>
      <c r="AY5"/>
      <c r="BE5"/>
    </row>
    <row r="6" spans="1:57" x14ac:dyDescent="0.25">
      <c r="A6" s="11" t="s">
        <v>196</v>
      </c>
      <c r="B6" s="11" t="s">
        <v>185</v>
      </c>
      <c r="C6" s="7">
        <f>+_xll.BDP($B6,C$3)</f>
        <v>0.94599999999999995</v>
      </c>
      <c r="D6" s="7">
        <f>+_xll.BDP($B6,D$3)</f>
        <v>0.441</v>
      </c>
      <c r="E6" s="7">
        <f>+_xll.BDP($B6,E$3)</f>
        <v>1.0509999999999999</v>
      </c>
      <c r="F6" s="7">
        <f>+_xll.BDP($B6,F$3)</f>
        <v>1.198</v>
      </c>
      <c r="G6" s="7">
        <f>+_xll.BDP($B6,G$3)</f>
        <v>0.69299999999999995</v>
      </c>
      <c r="H6" s="78"/>
      <c r="I6" s="78"/>
      <c r="K6" s="11" t="s">
        <v>196</v>
      </c>
      <c r="L6" s="11" t="s">
        <v>226</v>
      </c>
      <c r="M6" s="7">
        <f>_xll.BDP($L6,$M$3)</f>
        <v>12.420218998967602</v>
      </c>
      <c r="N6" s="7">
        <f>+_xll.BDP($L6,N$3)</f>
        <v>-1.7944199999999999</v>
      </c>
      <c r="O6" s="7">
        <f>+_xll.BDP($L6,O$3)</f>
        <v>-8.5536379999999994</v>
      </c>
      <c r="P6" s="7">
        <f>+_xll.BDP($L6,P$3)</f>
        <v>-7.2257949999999997</v>
      </c>
      <c r="Q6" s="7">
        <f>+_xll.BDP($L6,Q$3)</f>
        <v>17.96827</v>
      </c>
      <c r="AE6" t="s">
        <v>538</v>
      </c>
      <c r="AF6" s="11" cm="1">
        <f t="array" ref="AF6">+_xll.BDP(AE6,AF$1)</f>
        <v>-44.984900000000003</v>
      </c>
      <c r="AG6" s="11" t="str" cm="1">
        <f t="array" ref="AG6">+_xll.BDP(AE6,AG$1)</f>
        <v>Consumer Discretionary</v>
      </c>
      <c r="AH6" s="11" t="str" cm="1">
        <f t="array" ref="AH6">+_xll.BDP(AE6,AH$1)</f>
        <v>Entertainment</v>
      </c>
      <c r="AK6" t="s">
        <v>828</v>
      </c>
      <c r="AL6" s="11" cm="1">
        <f t="array" ref="AL6">+_xll.BDP(AK6,AL$1)</f>
        <v>-48.189990000000002</v>
      </c>
      <c r="AM6" s="11" t="str" cm="1">
        <f t="array" ref="AM6">+_xll.BDP(AK6,AM$1)</f>
        <v>Health Care</v>
      </c>
      <c r="AN6" s="11" t="str" cm="1">
        <f t="array" ref="AN6">+_xll.BDP(AK6,AN$1)</f>
        <v>Internet</v>
      </c>
      <c r="AQ6" t="s">
        <v>618</v>
      </c>
      <c r="AR6" s="11" cm="1">
        <f t="array" ref="AR6">+_xll.BDP(AQ6,AR$1)</f>
        <v>-16.215990000000001</v>
      </c>
      <c r="AS6" s="11" t="str" cm="1">
        <f t="array" ref="AS6">+_xll.BDP(AQ6,AS$1)</f>
        <v>Consumer Staples</v>
      </c>
      <c r="AT6" s="11" t="str" cm="1">
        <f t="array" ref="AT6">+_xll.BDP(AQ6,AT$1)</f>
        <v>Beverages</v>
      </c>
      <c r="AY6"/>
      <c r="BE6"/>
    </row>
    <row r="7" spans="1:57" x14ac:dyDescent="0.25">
      <c r="A7" s="11" t="s">
        <v>139</v>
      </c>
      <c r="B7" s="11" t="s">
        <v>208</v>
      </c>
      <c r="C7" s="7">
        <f>+_xll.BDP($B7,C$3)</f>
        <v>1.397</v>
      </c>
      <c r="D7" s="7">
        <f>+_xll.BDP($B7,D$3)</f>
        <v>0.437</v>
      </c>
      <c r="E7" s="7">
        <f>+_xll.BDP($B7,E$3)</f>
        <v>1.1639999999999999</v>
      </c>
      <c r="F7" s="7">
        <f>+_xll.BDP($B7,F$3)</f>
        <v>1.3129999999999999</v>
      </c>
      <c r="G7" s="7">
        <f>+_xll.BDP($B7,G$3)</f>
        <v>0.45700000000000002</v>
      </c>
      <c r="H7" s="78"/>
      <c r="I7" s="78"/>
      <c r="K7" s="11" t="s">
        <v>139</v>
      </c>
      <c r="L7" s="11" t="s">
        <v>227</v>
      </c>
      <c r="M7" s="7">
        <f>_xll.BDP($L7,$M$3)</f>
        <v>12.3937123808332</v>
      </c>
      <c r="N7" s="7">
        <f>+_xll.BDP($L7,N$3)</f>
        <v>-0.94017859999999998</v>
      </c>
      <c r="O7" s="7">
        <f>+_xll.BDP($L7,O$3)</f>
        <v>-2.0329139999999999</v>
      </c>
      <c r="P7" s="7">
        <f>+_xll.BDP($L7,P$3)</f>
        <v>5.257784</v>
      </c>
      <c r="Q7" s="7">
        <f>+_xll.BDP($L7,Q$3)</f>
        <v>30.392150000000001</v>
      </c>
      <c r="AE7" t="s">
        <v>541</v>
      </c>
      <c r="AF7" s="11" cm="1">
        <f t="array" ref="AF7">+_xll.BDP(AE7,AF$1)</f>
        <v>73.649709999999999</v>
      </c>
      <c r="AG7" s="11" t="str" cm="1">
        <f t="array" ref="AG7">+_xll.BDP(AE7,AG$1)</f>
        <v>Materials</v>
      </c>
      <c r="AH7" s="11" t="str" cm="1">
        <f t="array" ref="AH7">+_xll.BDP(AE7,AH$1)</f>
        <v>Mining</v>
      </c>
      <c r="AK7" t="s">
        <v>680</v>
      </c>
      <c r="AL7" s="11" cm="1">
        <f t="array" ref="AL7">+_xll.BDP(AK7,AL$1)</f>
        <v>1.5137179999999999</v>
      </c>
      <c r="AM7" s="11" t="str" cm="1">
        <f t="array" ref="AM7">+_xll.BDP(AK7,AM$1)</f>
        <v>Information Technology</v>
      </c>
      <c r="AN7" s="11" t="str" cm="1">
        <f t="array" ref="AN7">+_xll.BDP(AK7,AN$1)</f>
        <v>Electronics</v>
      </c>
      <c r="AQ7" t="s">
        <v>641</v>
      </c>
      <c r="AR7" s="11" cm="1">
        <f t="array" ref="AR7">+_xll.BDP(AQ7,AR$1)</f>
        <v>-27.18066</v>
      </c>
      <c r="AS7" s="11" t="str" cm="1">
        <f t="array" ref="AS7">+_xll.BDP(AQ7,AS$1)</f>
        <v>Materials</v>
      </c>
      <c r="AT7" s="11" t="str" cm="1">
        <f t="array" ref="AT7">+_xll.BDP(AQ7,AT$1)</f>
        <v>Chemicals</v>
      </c>
      <c r="AY7"/>
      <c r="BE7"/>
    </row>
    <row r="8" spans="1:57" x14ac:dyDescent="0.25">
      <c r="A8" s="11" t="s">
        <v>18</v>
      </c>
      <c r="B8" s="11" t="s">
        <v>209</v>
      </c>
      <c r="C8" s="7">
        <f>+_xll.BDP($B8,C$3)</f>
        <v>2.464</v>
      </c>
      <c r="D8" s="7">
        <f>+_xll.BDP($B8,D$3)</f>
        <v>0.59199999999999997</v>
      </c>
      <c r="E8" s="7">
        <f>+_xll.BDP($B8,E$3)</f>
        <v>1.6</v>
      </c>
      <c r="F8" s="7">
        <f>+_xll.BDP($B8,F$3)</f>
        <v>1.823</v>
      </c>
      <c r="G8" s="7">
        <f>+_xll.BDP($B8,G$3)</f>
        <v>0.496</v>
      </c>
      <c r="H8" s="78"/>
      <c r="I8" s="78"/>
      <c r="K8" s="11" t="s">
        <v>18</v>
      </c>
      <c r="L8" s="11" t="s">
        <v>228</v>
      </c>
      <c r="M8" s="7">
        <f>_xll.BDP($L8,$M$3)</f>
        <v>9.4781709741247173</v>
      </c>
      <c r="N8" s="7">
        <f>+_xll.BDP($L8,N$3)</f>
        <v>-0.81002589999999997</v>
      </c>
      <c r="O8" s="7">
        <f>+_xll.BDP($L8,O$3)</f>
        <v>-8.4172949999999993</v>
      </c>
      <c r="P8" s="7">
        <f>+_xll.BDP($L8,P$3)</f>
        <v>-0.25944630000000002</v>
      </c>
      <c r="Q8" s="7">
        <f>+_xll.BDP($L8,Q$3)</f>
        <v>23.267230000000001</v>
      </c>
      <c r="AE8" t="s">
        <v>503</v>
      </c>
      <c r="AF8" s="11" cm="1">
        <f t="array" ref="AF8">+_xll.BDP(AE8,AF$1)</f>
        <v>-16.066479999999999</v>
      </c>
      <c r="AG8" s="11" t="str" cm="1">
        <f t="array" ref="AG8">+_xll.BDP(AE8,AG$1)</f>
        <v>Materials</v>
      </c>
      <c r="AH8" s="11" t="str" cm="1">
        <f t="array" ref="AH8">+_xll.BDP(AE8,AH$1)</f>
        <v>Mining</v>
      </c>
      <c r="AK8" t="s">
        <v>679</v>
      </c>
      <c r="AL8" s="11" cm="1">
        <f t="array" ref="AL8">+_xll.BDP(AK8,AL$1)</f>
        <v>-18.312560000000001</v>
      </c>
      <c r="AM8" s="11" t="str" cm="1">
        <f t="array" ref="AM8">+_xll.BDP(AK8,AM$1)</f>
        <v>Information Technology</v>
      </c>
      <c r="AN8" s="11" t="str" cm="1">
        <f t="array" ref="AN8">+_xll.BDP(AK8,AN$1)</f>
        <v>Semiconductors</v>
      </c>
      <c r="AQ8" t="s">
        <v>645</v>
      </c>
      <c r="AR8" s="11" cm="1">
        <f t="array" ref="AR8">+_xll.BDP(AQ8,AR$1)</f>
        <v>6.8867890000000003</v>
      </c>
      <c r="AS8" s="11" t="str" cm="1">
        <f t="array" ref="AS8">+_xll.BDP(AQ8,AS$1)</f>
        <v>Materials</v>
      </c>
      <c r="AT8" s="11" t="str" cm="1">
        <f t="array" ref="AT8">+_xll.BDP(AQ8,AT$1)</f>
        <v>Mining</v>
      </c>
      <c r="AY8"/>
      <c r="BE8"/>
    </row>
    <row r="9" spans="1:57" x14ac:dyDescent="0.25">
      <c r="A9" s="11" t="s">
        <v>19</v>
      </c>
      <c r="B9" s="11" t="s">
        <v>210</v>
      </c>
      <c r="C9" s="7">
        <f>+_xll.BDP($B9,C$3)</f>
        <v>1.9079999999999999</v>
      </c>
      <c r="D9" s="7">
        <f>+_xll.BDP($B9,D$3)</f>
        <v>0.48799999999999999</v>
      </c>
      <c r="E9" s="7">
        <f>+_xll.BDP($B9,E$3)</f>
        <v>1.38</v>
      </c>
      <c r="F9" s="7">
        <f>+_xll.BDP($B9,F$3)</f>
        <v>1.5150000000000001</v>
      </c>
      <c r="G9" s="7">
        <f>+_xll.BDP($B9,G$3)</f>
        <v>0.21299999999999999</v>
      </c>
      <c r="H9" s="78"/>
      <c r="I9" s="78"/>
      <c r="K9" s="11" t="s">
        <v>19</v>
      </c>
      <c r="L9" s="11" t="s">
        <v>229</v>
      </c>
      <c r="M9" s="7">
        <f>_xll.BDP($L9,$M$3)</f>
        <v>12.769293964858685</v>
      </c>
      <c r="N9" s="7">
        <f>+_xll.BDP($L9,N$3)</f>
        <v>2.6828660000000002</v>
      </c>
      <c r="O9" s="7">
        <f>+_xll.BDP($L9,O$3)</f>
        <v>-2.1501389999999998</v>
      </c>
      <c r="P9" s="7">
        <f>+_xll.BDP($L9,P$3)</f>
        <v>0.67115550000000002</v>
      </c>
      <c r="Q9" s="7">
        <f>+_xll.BDP($L9,Q$3)</f>
        <v>-16.017150000000001</v>
      </c>
      <c r="AE9" t="s">
        <v>519</v>
      </c>
      <c r="AF9" s="11" cm="1">
        <f t="array" ref="AF9">+_xll.BDP(AE9,AF$1)</f>
        <v>-27.787019999999998</v>
      </c>
      <c r="AG9" s="11" t="str" cm="1">
        <f t="array" ref="AG9">+_xll.BDP(AE9,AG$1)</f>
        <v>Consumer Discretionary</v>
      </c>
      <c r="AH9" s="11" t="str" cm="1">
        <f t="array" ref="AH9">+_xll.BDP(AE9,AH$1)</f>
        <v>Retail</v>
      </c>
      <c r="AK9" t="s">
        <v>667</v>
      </c>
      <c r="AL9" s="11" cm="1">
        <f t="array" ref="AL9">+_xll.BDP(AK9,AL$1)</f>
        <v>133.17009999999999</v>
      </c>
      <c r="AM9" s="11" t="str" cm="1">
        <f t="array" ref="AM9">+_xll.BDP(AK9,AM$1)</f>
        <v>Industrials</v>
      </c>
      <c r="AN9" s="11" t="str" cm="1">
        <f t="array" ref="AN9">+_xll.BDP(AK9,AN$1)</f>
        <v>Transportation</v>
      </c>
      <c r="AQ9" t="s">
        <v>614</v>
      </c>
      <c r="AR9" s="11" cm="1">
        <f t="array" ref="AR9">+_xll.BDP(AQ9,AR$1)</f>
        <v>14.62082</v>
      </c>
      <c r="AS9" s="11" t="str" cm="1">
        <f t="array" ref="AS9">+_xll.BDP(AQ9,AS$1)</f>
        <v>Industrials</v>
      </c>
      <c r="AT9" s="11" t="str" cm="1">
        <f t="array" ref="AT9">+_xll.BDP(AQ9,AT$1)</f>
        <v>Auto Parts&amp;Equipment</v>
      </c>
      <c r="AY9"/>
      <c r="BE9"/>
    </row>
    <row r="10" spans="1:57" x14ac:dyDescent="0.25">
      <c r="A10" s="2" t="s">
        <v>20</v>
      </c>
      <c r="B10" s="2" t="s">
        <v>211</v>
      </c>
      <c r="C10" s="35">
        <f>+_xll.BDP($B10,C$3)</f>
        <v>1.958</v>
      </c>
      <c r="D10" s="35">
        <f>+_xll.BDP($B10,D$3)</f>
        <v>0.67</v>
      </c>
      <c r="E10" s="35">
        <f>+_xll.BDP($B10,E$3)</f>
        <v>1.548</v>
      </c>
      <c r="F10" s="35">
        <f>+_xll.BDP($B10,F$3)</f>
        <v>1.5580000000000001</v>
      </c>
      <c r="G10" s="35">
        <f>+_xll.BDP($B10,G$3)</f>
        <v>-1.7850000000000001</v>
      </c>
      <c r="H10" s="78"/>
      <c r="I10" s="78"/>
      <c r="K10" s="2" t="s">
        <v>20</v>
      </c>
      <c r="L10" s="2" t="s">
        <v>230</v>
      </c>
      <c r="M10" s="35">
        <f>_xll.BDP($L10,$M$3)</f>
        <v>15.389148920096726</v>
      </c>
      <c r="N10" s="35">
        <f>+_xll.BDP($L10,N$3)</f>
        <v>3.6434690000000001</v>
      </c>
      <c r="O10" s="35">
        <f>+_xll.BDP($L10,O$3)</f>
        <v>4.4865570000000004</v>
      </c>
      <c r="P10" s="35">
        <f>+_xll.BDP($L10,P$3)</f>
        <v>20.407540000000001</v>
      </c>
      <c r="Q10" s="35">
        <f>+_xll.BDP($L10,Q$3)</f>
        <v>23.72166</v>
      </c>
      <c r="AE10" t="s">
        <v>513</v>
      </c>
      <c r="AF10" s="11" cm="1">
        <f t="array" ref="AF10">+_xll.BDP(AE10,AF$1)</f>
        <v>-19.3232</v>
      </c>
      <c r="AG10" s="11" t="str" cm="1">
        <f t="array" ref="AG10">+_xll.BDP(AE10,AG$1)</f>
        <v>Financials</v>
      </c>
      <c r="AH10" s="11" t="str" cm="1">
        <f t="array" ref="AH10">+_xll.BDP(AE10,AH$1)</f>
        <v>Private Equity</v>
      </c>
      <c r="AK10" t="s">
        <v>738</v>
      </c>
      <c r="AL10" s="11" cm="1">
        <f t="array" ref="AL10">+_xll.BDP(AK10,AL$1)</f>
        <v>-6.5368570000000004</v>
      </c>
      <c r="AM10" s="11" t="str" cm="1">
        <f t="array" ref="AM10">+_xll.BDP(AK10,AM$1)</f>
        <v>Materials</v>
      </c>
      <c r="AN10" s="11" t="str" cm="1">
        <f t="array" ref="AN10">+_xll.BDP(AK10,AN$1)</f>
        <v>Mining</v>
      </c>
      <c r="AQ10" t="s">
        <v>609</v>
      </c>
      <c r="AR10" s="11" cm="1">
        <f t="array" ref="AR10">+_xll.BDP(AQ10,AR$1)</f>
        <v>-13.27975</v>
      </c>
      <c r="AS10" s="11" t="str" cm="1">
        <f t="array" ref="AS10">+_xll.BDP(AQ10,AS$1)</f>
        <v>Health Care</v>
      </c>
      <c r="AT10" s="11" t="str" cm="1">
        <f t="array" ref="AT10">+_xll.BDP(AQ10,AT$1)</f>
        <v>Healthcare-Services</v>
      </c>
      <c r="AY10"/>
      <c r="BE10"/>
    </row>
    <row r="11" spans="1:57" x14ac:dyDescent="0.25">
      <c r="A11" s="11" t="s">
        <v>263</v>
      </c>
      <c r="B11" s="11" t="s">
        <v>213</v>
      </c>
      <c r="C11" s="7">
        <f>+_xll.BDP($B11,C$3)</f>
        <v>0.90800000000000003</v>
      </c>
      <c r="D11" s="7">
        <f>+_xll.BDP($B11,D$3)</f>
        <v>0.42199999999999999</v>
      </c>
      <c r="E11" s="7">
        <f>+_xll.BDP($B11,E$3)</f>
        <v>0.95199999999999996</v>
      </c>
      <c r="F11" s="7">
        <f>+_xll.BDP($B11,F$3)</f>
        <v>1.1639999999999999</v>
      </c>
      <c r="G11" s="7">
        <f>+_xll.BDP($B11,G$3)</f>
        <v>1.105</v>
      </c>
      <c r="H11" s="78"/>
      <c r="I11" s="78"/>
      <c r="K11" s="11" t="s">
        <v>263</v>
      </c>
      <c r="L11" s="11" t="s">
        <v>232</v>
      </c>
      <c r="M11" s="7">
        <f>_xll.BDP($L11,$M$3)</f>
        <v>17.819261101783429</v>
      </c>
      <c r="N11" s="7">
        <f>+_xll.BDP($L11,N$3)</f>
        <v>0.54390050000000001</v>
      </c>
      <c r="O11" s="7">
        <f>+_xll.BDP($L11,O$3)</f>
        <v>1.764902</v>
      </c>
      <c r="P11" s="7">
        <f>+_xll.BDP($L11,P$3)</f>
        <v>9.3015519999999992</v>
      </c>
      <c r="Q11" s="7">
        <f>+_xll.BDP($L11,Q$3)</f>
        <v>43.430019999999999</v>
      </c>
      <c r="AE11" t="s">
        <v>582</v>
      </c>
      <c r="AF11" s="11" cm="1">
        <f t="array" ref="AF11">+_xll.BDP(AE11,AF$1)</f>
        <v>-4.2879750000000003</v>
      </c>
      <c r="AG11" s="11" t="str" cm="1">
        <f t="array" ref="AG11">+_xll.BDP(AE11,AG$1)</f>
        <v>Consumer Discretionary</v>
      </c>
      <c r="AH11" s="11" t="str" cm="1">
        <f t="array" ref="AH11">+_xll.BDP(AE11,AH$1)</f>
        <v>Retail</v>
      </c>
      <c r="AK11" t="s">
        <v>673</v>
      </c>
      <c r="AL11" s="11" cm="1">
        <f t="array" ref="AL11">+_xll.BDP(AK11,AL$1)</f>
        <v>28.167539999999999</v>
      </c>
      <c r="AM11" s="11" t="str" cm="1">
        <f t="array" ref="AM11">+_xll.BDP(AK11,AM$1)</f>
        <v>Industrials</v>
      </c>
      <c r="AN11" s="11" t="str" cm="1">
        <f t="array" ref="AN11">+_xll.BDP(AK11,AN$1)</f>
        <v>Machinery-Diversified</v>
      </c>
      <c r="AQ11" t="s">
        <v>613</v>
      </c>
      <c r="AR11" s="11" cm="1">
        <f t="array" ref="AR11">+_xll.BDP(AQ11,AR$1)</f>
        <v>-46.826650000000001</v>
      </c>
      <c r="AS11" s="11" t="str" cm="1">
        <f t="array" ref="AS11">+_xll.BDP(AQ11,AS$1)</f>
        <v>Industrials</v>
      </c>
      <c r="AT11" s="11" t="str" cm="1">
        <f t="array" ref="AT11">+_xll.BDP(AQ11,AT$1)</f>
        <v>Machinery-Constr&amp;Mining</v>
      </c>
      <c r="AY11"/>
      <c r="BE11"/>
    </row>
    <row r="12" spans="1:57" x14ac:dyDescent="0.25">
      <c r="A12" s="11" t="s">
        <v>5</v>
      </c>
      <c r="B12" s="11" t="s">
        <v>403</v>
      </c>
      <c r="C12" s="7">
        <f>+_xll.BDP($B12,C$3)</f>
        <v>1.9969999999999999</v>
      </c>
      <c r="D12" s="7">
        <f>+_xll.BDP($B12,D$3)</f>
        <v>0.28899999999999998</v>
      </c>
      <c r="E12" s="7">
        <f>+_xll.BDP($B12,E$3)</f>
        <v>0.85199999999999998</v>
      </c>
      <c r="F12" s="7">
        <f>+_xll.BDP($B12,F$3)</f>
        <v>1.2570000000000001</v>
      </c>
      <c r="G12" s="7">
        <f>+_xll.BDP($B12,G$3)</f>
        <v>0.96299999999999997</v>
      </c>
      <c r="H12" s="78"/>
      <c r="I12" s="78"/>
      <c r="K12" s="11" t="s">
        <v>5</v>
      </c>
      <c r="L12" s="11" t="s">
        <v>265</v>
      </c>
      <c r="M12" s="7">
        <f>_xll.BDP($L12,$M$3)</f>
        <v>10.972648778770729</v>
      </c>
      <c r="N12" s="7">
        <f>+_xll.BDP($L12,N$3)</f>
        <v>1.146488</v>
      </c>
      <c r="O12" s="7">
        <f>+_xll.BDP($L12,O$3)</f>
        <v>4.9675570000000002</v>
      </c>
      <c r="P12" s="7">
        <f>+_xll.BDP($L12,P$3)</f>
        <v>8.9965130000000002</v>
      </c>
      <c r="Q12" s="7">
        <f>+_xll.BDP($L12,Q$3)</f>
        <v>6.2954109999999996</v>
      </c>
      <c r="AE12" t="s">
        <v>518</v>
      </c>
      <c r="AF12" s="11" cm="1">
        <f t="array" ref="AF12">+_xll.BDP(AE12,AF$1)</f>
        <v>-37.716479999999997</v>
      </c>
      <c r="AG12" s="11" t="str" cm="1">
        <f t="array" ref="AG12">+_xll.BDP(AE12,AG$1)</f>
        <v>Information Technology</v>
      </c>
      <c r="AH12" s="11" t="str" cm="1">
        <f t="array" ref="AH12">+_xll.BDP(AE12,AH$1)</f>
        <v>Electronics</v>
      </c>
      <c r="AK12" t="s">
        <v>658</v>
      </c>
      <c r="AL12" s="11" cm="1">
        <f t="array" ref="AL12">+_xll.BDP(AK12,AL$1)</f>
        <v>-22.327470000000002</v>
      </c>
      <c r="AM12" s="11" t="str" cm="1">
        <f t="array" ref="AM12">+_xll.BDP(AK12,AM$1)</f>
        <v>Materials</v>
      </c>
      <c r="AN12" s="11" t="str" cm="1">
        <f t="array" ref="AN12">+_xll.BDP(AK12,AN$1)</f>
        <v>Iron/Steel</v>
      </c>
      <c r="AQ12" t="s">
        <v>623</v>
      </c>
      <c r="AR12" s="11" cm="1">
        <f t="array" ref="AR12">+_xll.BDP(AQ12,AR$1)</f>
        <v>-29.823810000000002</v>
      </c>
      <c r="AS12" s="11" t="str" cm="1">
        <f t="array" ref="AS12">+_xll.BDP(AQ12,AS$1)</f>
        <v>Health Care</v>
      </c>
      <c r="AT12" s="11" t="str" cm="1">
        <f t="array" ref="AT12">+_xll.BDP(AQ12,AT$1)</f>
        <v>Healthcare-Services</v>
      </c>
      <c r="AY12"/>
      <c r="BE12"/>
    </row>
    <row r="13" spans="1:57" x14ac:dyDescent="0.25">
      <c r="A13" s="2" t="s">
        <v>198</v>
      </c>
      <c r="B13" s="2" t="s">
        <v>214</v>
      </c>
      <c r="C13" s="35">
        <f>+_xll.BDP($B13,C$3)</f>
        <v>1.63</v>
      </c>
      <c r="D13" s="35">
        <f>+_xll.BDP($B13,D$3)</f>
        <v>0.59799999999999998</v>
      </c>
      <c r="E13" s="35">
        <f>+_xll.BDP($B13,E$3)</f>
        <v>1.2150000000000001</v>
      </c>
      <c r="F13" s="35">
        <f>+_xll.BDP($B13,F$3)</f>
        <v>1.2709999999999999</v>
      </c>
      <c r="G13" s="35">
        <f>+_xll.BDP($B13,G$3)</f>
        <v>1.0660000000000001</v>
      </c>
      <c r="H13" s="78"/>
      <c r="I13" s="78"/>
      <c r="K13" s="2" t="s">
        <v>198</v>
      </c>
      <c r="L13" s="2" t="s">
        <v>233</v>
      </c>
      <c r="M13" s="35">
        <f>_xll.BDP($L13,$M$3)</f>
        <v>16.534906011958185</v>
      </c>
      <c r="N13" s="35">
        <f>+_xll.BDP($L13,N$3)</f>
        <v>-3.549013</v>
      </c>
      <c r="O13" s="35">
        <f>+_xll.BDP($L13,O$3)</f>
        <v>-10.3681</v>
      </c>
      <c r="P13" s="35">
        <f>+_xll.BDP($L13,P$3)</f>
        <v>-5.6937740000000003</v>
      </c>
      <c r="Q13" s="35">
        <f>+_xll.BDP($L13,Q$3)</f>
        <v>33.819600000000001</v>
      </c>
      <c r="AE13" t="s">
        <v>500</v>
      </c>
      <c r="AF13" s="11" cm="1">
        <f t="array" ref="AF13">+_xll.BDP(AE13,AF$1)</f>
        <v>-19.372540000000001</v>
      </c>
      <c r="AG13" s="11" t="str" cm="1">
        <f t="array" ref="AG13">+_xll.BDP(AE13,AG$1)</f>
        <v>Financials</v>
      </c>
      <c r="AH13" s="11" t="str" cm="1">
        <f t="array" ref="AH13">+_xll.BDP(AE13,AH$1)</f>
        <v>Banks</v>
      </c>
      <c r="AK13" t="s">
        <v>702</v>
      </c>
      <c r="AL13" s="11" cm="1">
        <f t="array" ref="AL13">+_xll.BDP(AK13,AL$1)</f>
        <v>38.44697</v>
      </c>
      <c r="AM13" s="11" t="str" cm="1">
        <f t="array" ref="AM13">+_xll.BDP(AK13,AM$1)</f>
        <v>Industrials</v>
      </c>
      <c r="AN13" s="11" t="str" cm="1">
        <f t="array" ref="AN13">+_xll.BDP(AK13,AN$1)</f>
        <v>Iron/Steel</v>
      </c>
      <c r="AQ13" t="s">
        <v>629</v>
      </c>
      <c r="AR13" s="11" cm="1">
        <f t="array" ref="AR13">+_xll.BDP(AQ13,AR$1)</f>
        <v>-1.5929199999999999</v>
      </c>
      <c r="AS13" s="11" t="str" cm="1">
        <f t="array" ref="AS13">+_xll.BDP(AQ13,AS$1)</f>
        <v>Financials</v>
      </c>
      <c r="AT13" s="11" t="str" cm="1">
        <f t="array" ref="AT13">+_xll.BDP(AQ13,AT$1)</f>
        <v>Internet</v>
      </c>
      <c r="AY13"/>
      <c r="BE13"/>
    </row>
    <row r="14" spans="1:57" x14ac:dyDescent="0.25">
      <c r="A14" s="11" t="s">
        <v>4</v>
      </c>
      <c r="B14" s="11" t="s">
        <v>215</v>
      </c>
      <c r="C14" s="7">
        <f>+_xll.BDP($B14,C$3)</f>
        <v>0.25</v>
      </c>
      <c r="D14" s="7">
        <f>+_xll.BDP($B14,D$3)</f>
        <v>3.3000000000000002E-2</v>
      </c>
      <c r="E14" s="7">
        <f>+_xll.BDP($B14,E$3)</f>
        <v>0.153</v>
      </c>
      <c r="F14" s="7">
        <f>+_xll.BDP($B14,F$3)</f>
        <v>0.17799999999999999</v>
      </c>
      <c r="G14" s="7">
        <f>+_xll.BDP($B14,G$3)</f>
        <v>0.23400000000000001</v>
      </c>
      <c r="H14" s="78"/>
      <c r="I14" s="78"/>
      <c r="K14" s="11" t="s">
        <v>4</v>
      </c>
      <c r="L14" s="11" t="s">
        <v>234</v>
      </c>
      <c r="M14" s="7">
        <f>_xll.BDP($L14,$M$3)</f>
        <v>14.963044238092239</v>
      </c>
      <c r="N14" s="7">
        <f>+_xll.BDP($L14,N$3)</f>
        <v>-0.43656020000000001</v>
      </c>
      <c r="O14" s="7">
        <f>+_xll.BDP($L14,O$3)</f>
        <v>-5.90036</v>
      </c>
      <c r="P14" s="7">
        <f>+_xll.BDP($L14,P$3)</f>
        <v>-7.136145</v>
      </c>
      <c r="Q14" s="7">
        <f>+_xll.BDP($L14,Q$3)</f>
        <v>45.564810000000001</v>
      </c>
      <c r="AE14" t="s">
        <v>596</v>
      </c>
      <c r="AF14" s="11" cm="1">
        <f t="array" ref="AF14">+_xll.BDP(AE14,AF$1)</f>
        <v>-27.223330000000001</v>
      </c>
      <c r="AG14" s="11" t="str" cm="1">
        <f t="array" ref="AG14">+_xll.BDP(AE14,AG$1)</f>
        <v>#N/A N/A</v>
      </c>
      <c r="AH14" s="11" t="str" cm="1">
        <f t="array" ref="AH14">+_xll.BDP(AE14,AH$1)</f>
        <v>Closed-end Funds</v>
      </c>
      <c r="AK14" t="s">
        <v>858</v>
      </c>
      <c r="AL14" s="11" cm="1">
        <f t="array" ref="AL14">+_xll.BDP(AK14,AL$1)</f>
        <v>30.89151</v>
      </c>
      <c r="AM14" s="11" t="str" cm="1">
        <f t="array" ref="AM14">+_xll.BDP(AK14,AM$1)</f>
        <v>Materials</v>
      </c>
      <c r="AN14" s="11" t="str" cm="1">
        <f t="array" ref="AN14">+_xll.BDP(AK14,AN$1)</f>
        <v>Mining</v>
      </c>
      <c r="AQ14" t="s">
        <v>628</v>
      </c>
      <c r="AR14" s="11" cm="1">
        <f t="array" ref="AR14">+_xll.BDP(AQ14,AR$1)</f>
        <v>-15.87424</v>
      </c>
      <c r="AS14" s="11" t="str" cm="1">
        <f t="array" ref="AS14">+_xll.BDP(AQ14,AS$1)</f>
        <v>Consumer Staples</v>
      </c>
      <c r="AT14" s="11" t="str" cm="1">
        <f t="array" ref="AT14">+_xll.BDP(AQ14,AT$1)</f>
        <v>Beverages</v>
      </c>
      <c r="AY14"/>
      <c r="BE14"/>
    </row>
    <row r="15" spans="1:57" x14ac:dyDescent="0.25">
      <c r="A15" s="11" t="s">
        <v>16</v>
      </c>
      <c r="B15" s="11" t="s">
        <v>216</v>
      </c>
      <c r="C15" s="7">
        <f>+_xll.BDP($B15,C$3)</f>
        <v>3.13</v>
      </c>
      <c r="D15" s="7">
        <f>+_xll.BDP($B15,D$3)</f>
        <v>0.40699999999999997</v>
      </c>
      <c r="E15" s="7">
        <f>+_xll.BDP($B15,E$3)</f>
        <v>1.33</v>
      </c>
      <c r="F15" s="7">
        <f>+_xll.BDP($B15,F$3)</f>
        <v>1.4319999999999999</v>
      </c>
      <c r="G15" s="7">
        <f>+_xll.BDP($B15,G$3)</f>
        <v>0.59199999999999997</v>
      </c>
      <c r="H15" s="78"/>
      <c r="I15" s="78"/>
      <c r="K15" s="11" t="s">
        <v>16</v>
      </c>
      <c r="L15" s="11" t="s">
        <v>235</v>
      </c>
      <c r="M15" s="7">
        <f>_xll.BDP($L15,$M$3)</f>
        <v>15.966662524063326</v>
      </c>
      <c r="N15" s="7">
        <f>+_xll.BDP($L15,N$3)</f>
        <v>1.800503</v>
      </c>
      <c r="O15" s="7">
        <f>+_xll.BDP($L15,O$3)</f>
        <v>0.77948799999999996</v>
      </c>
      <c r="P15" s="7">
        <f>+_xll.BDP($L15,P$3)</f>
        <v>5.9220699999999997</v>
      </c>
      <c r="Q15" s="7">
        <f>+_xll.BDP($L15,Q$3)</f>
        <v>27.658000000000001</v>
      </c>
      <c r="AE15" t="s">
        <v>504</v>
      </c>
      <c r="AF15" s="11" cm="1">
        <f t="array" ref="AF15">+_xll.BDP(AE15,AF$1)</f>
        <v>-24.059889999999999</v>
      </c>
      <c r="AG15" s="11" t="str" cm="1">
        <f t="array" ref="AG15">+_xll.BDP(AE15,AG$1)</f>
        <v>Industrials</v>
      </c>
      <c r="AH15" s="11" t="str" cm="1">
        <f t="array" ref="AH15">+_xll.BDP(AE15,AH$1)</f>
        <v>Investment Companies</v>
      </c>
      <c r="AK15" t="s">
        <v>663</v>
      </c>
      <c r="AL15" s="11" cm="1">
        <f t="array" ref="AL15">+_xll.BDP(AK15,AL$1)</f>
        <v>-26.59986</v>
      </c>
      <c r="AM15" s="11" t="str" cm="1">
        <f t="array" ref="AM15">+_xll.BDP(AK15,AM$1)</f>
        <v>Consumer Discretionary</v>
      </c>
      <c r="AN15" s="11" t="str" cm="1">
        <f t="array" ref="AN15">+_xll.BDP(AK15,AN$1)</f>
        <v>Retail</v>
      </c>
      <c r="AQ15" t="s">
        <v>625</v>
      </c>
      <c r="AR15" s="11" cm="1">
        <f t="array" ref="AR15">+_xll.BDP(AQ15,AR$1)</f>
        <v>-13.74361</v>
      </c>
      <c r="AS15" s="11" t="str" cm="1">
        <f t="array" ref="AS15">+_xll.BDP(AQ15,AS$1)</f>
        <v>Consumer Staples</v>
      </c>
      <c r="AT15" s="11" t="str" cm="1">
        <f t="array" ref="AT15">+_xll.BDP(AQ15,AT$1)</f>
        <v>Beverages</v>
      </c>
      <c r="AY15"/>
      <c r="BE15"/>
    </row>
    <row r="16" spans="1:57" x14ac:dyDescent="0.25">
      <c r="A16" s="11" t="s">
        <v>197</v>
      </c>
      <c r="B16" s="11" t="s">
        <v>217</v>
      </c>
      <c r="C16" s="7">
        <f>+_xll.BDP($B16,C$3)</f>
        <v>3.58</v>
      </c>
      <c r="D16" s="7">
        <f>+_xll.BDP($B16,D$3)</f>
        <v>0.28999999999999998</v>
      </c>
      <c r="E16" s="7">
        <f>+_xll.BDP($B16,E$3)</f>
        <v>1.08</v>
      </c>
      <c r="F16" s="7">
        <f>+_xll.BDP($B16,F$3)</f>
        <v>2.0270000000000001</v>
      </c>
      <c r="G16" s="7">
        <f>+_xll.BDP($B16,G$3)</f>
        <v>0.61</v>
      </c>
      <c r="H16" s="78"/>
      <c r="I16" s="78"/>
      <c r="K16" s="11" t="s">
        <v>197</v>
      </c>
      <c r="L16" s="11" t="s">
        <v>236</v>
      </c>
      <c r="M16" s="7">
        <f>_xll.BDP($L16,$M$3)</f>
        <v>30.876037967509145</v>
      </c>
      <c r="N16" s="7">
        <f>+_xll.BDP($L16,N$3)</f>
        <v>-2.4276740000000001</v>
      </c>
      <c r="O16" s="7">
        <f>+_xll.BDP($L16,O$3)</f>
        <v>-9.0492489999999997</v>
      </c>
      <c r="P16" s="7">
        <f>+_xll.BDP($L16,P$3)</f>
        <v>-5.3196669999999999</v>
      </c>
      <c r="Q16" s="7">
        <f>+_xll.BDP($L16,Q$3)</f>
        <v>65.458330000000004</v>
      </c>
      <c r="AE16" t="s">
        <v>507</v>
      </c>
      <c r="AF16" s="11" cm="1">
        <f t="array" ref="AF16">+_xll.BDP(AE16,AF$1)</f>
        <v>6.4678680000000002</v>
      </c>
      <c r="AG16" s="11" t="str" cm="1">
        <f t="array" ref="AG16">+_xll.BDP(AE16,AG$1)</f>
        <v>Communication Services</v>
      </c>
      <c r="AH16" s="11" t="str" cm="1">
        <f t="array" ref="AH16">+_xll.BDP(AE16,AH$1)</f>
        <v>Advertising</v>
      </c>
      <c r="AK16" t="s">
        <v>750</v>
      </c>
      <c r="AL16" s="11" cm="1">
        <f t="array" ref="AL16">+_xll.BDP(AK16,AL$1)</f>
        <v>0.29197079999999997</v>
      </c>
      <c r="AM16" s="11" t="str" cm="1">
        <f t="array" ref="AM16">+_xll.BDP(AK16,AM$1)</f>
        <v>Consumer Discretionary</v>
      </c>
      <c r="AN16" s="11" t="str" cm="1">
        <f t="array" ref="AN16">+_xll.BDP(AK16,AN$1)</f>
        <v>Leisure Time</v>
      </c>
      <c r="AQ16" t="s">
        <v>619</v>
      </c>
      <c r="AR16" s="11" cm="1">
        <f t="array" ref="AR16">+_xll.BDP(AQ16,AR$1)</f>
        <v>-23.10858</v>
      </c>
      <c r="AS16" s="11" t="str" cm="1">
        <f t="array" ref="AS16">+_xll.BDP(AQ16,AS$1)</f>
        <v>Industrials</v>
      </c>
      <c r="AT16" s="11" t="str" cm="1">
        <f t="array" ref="AT16">+_xll.BDP(AQ16,AT$1)</f>
        <v>Transportation</v>
      </c>
      <c r="AY16"/>
      <c r="BE16"/>
    </row>
    <row r="17" spans="1:57" x14ac:dyDescent="0.25">
      <c r="A17" s="2" t="s">
        <v>218</v>
      </c>
      <c r="B17" s="2" t="s">
        <v>219</v>
      </c>
      <c r="C17" s="35">
        <f>+_xll.BDP($B17,C$3)</f>
        <v>3.31</v>
      </c>
      <c r="D17" s="35">
        <f>+_xll.BDP($B17,D$3)</f>
        <v>0.57199999999999995</v>
      </c>
      <c r="E17" s="35">
        <f>+_xll.BDP($B17,E$3)</f>
        <v>0.91900000000000004</v>
      </c>
      <c r="F17" s="35">
        <f>+_xll.BDP($B17,F$3)</f>
        <v>1.3049999999999999</v>
      </c>
      <c r="G17" s="35">
        <f>+_xll.BDP($B17,G$3)</f>
        <v>1.143</v>
      </c>
      <c r="H17" s="78"/>
      <c r="I17" s="78"/>
      <c r="K17" s="2" t="s">
        <v>218</v>
      </c>
      <c r="L17" s="2" t="s">
        <v>237</v>
      </c>
      <c r="M17" s="35">
        <f>_xll.BDP($L17,$M$3)</f>
        <v>10.885305282182014</v>
      </c>
      <c r="N17" s="35">
        <f>+_xll.BDP($L17,N$3)</f>
        <v>-0.1952044</v>
      </c>
      <c r="O17" s="35">
        <f>+_xll.BDP($L17,O$3)</f>
        <v>-10.02774</v>
      </c>
      <c r="P17" s="35">
        <f>+_xll.BDP($L17,P$3)</f>
        <v>-14.87984</v>
      </c>
      <c r="Q17" s="35">
        <f>+_xll.BDP($L17,Q$3)</f>
        <v>24.926559999999998</v>
      </c>
      <c r="AE17" t="s">
        <v>531</v>
      </c>
      <c r="AF17" s="11" cm="1">
        <f t="array" ref="AF17">+_xll.BDP(AE17,AF$1)</f>
        <v>1.9952490000000001</v>
      </c>
      <c r="AG17" s="11" t="str" cm="1">
        <f t="array" ref="AG17">+_xll.BDP(AE17,AG$1)</f>
        <v>Financials</v>
      </c>
      <c r="AH17" s="11" t="str" cm="1">
        <f t="array" ref="AH17">+_xll.BDP(AE17,AH$1)</f>
        <v>Insurance</v>
      </c>
      <c r="AK17" t="s">
        <v>740</v>
      </c>
      <c r="AL17" s="11" cm="1">
        <f t="array" ref="AL17">+_xll.BDP(AK17,AL$1)</f>
        <v>7.9168450000000004</v>
      </c>
      <c r="AM17" s="11" t="str" cm="1">
        <f t="array" ref="AM17">+_xll.BDP(AK17,AM$1)</f>
        <v>Consumer Discretionary</v>
      </c>
      <c r="AN17" s="11" t="str" cm="1">
        <f t="array" ref="AN17">+_xll.BDP(AK17,AN$1)</f>
        <v>Auto Parts&amp;Equipment</v>
      </c>
      <c r="AQ17" t="s">
        <v>621</v>
      </c>
      <c r="AR17" s="11" cm="1">
        <f t="array" ref="AR17">+_xll.BDP(AQ17,AR$1)</f>
        <v>-29.009350000000001</v>
      </c>
      <c r="AS17" s="11" t="str" cm="1">
        <f t="array" ref="AS17">+_xll.BDP(AQ17,AS$1)</f>
        <v>Consumer Discretionary</v>
      </c>
      <c r="AT17" s="11" t="str" cm="1">
        <f t="array" ref="AT17">+_xll.BDP(AQ17,AT$1)</f>
        <v>Home Furnishings</v>
      </c>
      <c r="AY17"/>
      <c r="BE17"/>
    </row>
    <row r="18" spans="1:57" x14ac:dyDescent="0.25">
      <c r="C18" s="7"/>
      <c r="D18" s="7"/>
      <c r="E18" s="7"/>
      <c r="F18" s="7"/>
      <c r="G18" s="7"/>
      <c r="H18" s="78"/>
      <c r="I18" s="78"/>
      <c r="M18" s="7"/>
      <c r="N18" s="7"/>
      <c r="O18" s="7"/>
      <c r="P18" s="7"/>
      <c r="Q18" s="7"/>
      <c r="AE18" t="s">
        <v>525</v>
      </c>
      <c r="AF18" s="11" cm="1">
        <f t="array" ref="AF18">+_xll.BDP(AE18,AF$1)</f>
        <v>-20.39545</v>
      </c>
      <c r="AG18" s="11" t="str" cm="1">
        <f t="array" ref="AG18">+_xll.BDP(AE18,AG$1)</f>
        <v>Consumer Discretionary</v>
      </c>
      <c r="AH18" s="11" t="str" cm="1">
        <f t="array" ref="AH18">+_xll.BDP(AE18,AH$1)</f>
        <v>Retail</v>
      </c>
      <c r="AK18" t="s">
        <v>835</v>
      </c>
      <c r="AL18" s="11" cm="1">
        <f t="array" ref="AL18">+_xll.BDP(AK18,AL$1)</f>
        <v>-21.482759999999999</v>
      </c>
      <c r="AM18" s="11" t="str" cm="1">
        <f t="array" ref="AM18">+_xll.BDP(AK18,AM$1)</f>
        <v>Industrials</v>
      </c>
      <c r="AN18" s="11" t="str" cm="1">
        <f t="array" ref="AN18">+_xll.BDP(AK18,AN$1)</f>
        <v>Electrical Compo&amp;Equip</v>
      </c>
      <c r="AQ18" t="s">
        <v>617</v>
      </c>
      <c r="AR18" s="11" cm="1">
        <f t="array" ref="AR18">+_xll.BDP(AQ18,AR$1)</f>
        <v>-30.113140000000001</v>
      </c>
      <c r="AS18" s="11" t="str" cm="1">
        <f t="array" ref="AS18">+_xll.BDP(AQ18,AS$1)</f>
        <v>Financials</v>
      </c>
      <c r="AT18" s="11" t="str" cm="1">
        <f t="array" ref="AT18">+_xll.BDP(AQ18,AT$1)</f>
        <v>Banks</v>
      </c>
      <c r="AY18"/>
      <c r="BE18"/>
    </row>
    <row r="19" spans="1:57" x14ac:dyDescent="0.25">
      <c r="A19" s="36" t="s">
        <v>353</v>
      </c>
      <c r="B19" s="2"/>
      <c r="C19" s="35" t="s">
        <v>189</v>
      </c>
      <c r="D19" s="35" t="s">
        <v>190</v>
      </c>
      <c r="E19" s="35" t="s">
        <v>192</v>
      </c>
      <c r="F19" s="35" t="s">
        <v>193</v>
      </c>
      <c r="G19" s="35" t="s">
        <v>191</v>
      </c>
      <c r="H19" s="78"/>
      <c r="I19" s="78"/>
      <c r="K19" s="36" t="s">
        <v>353</v>
      </c>
      <c r="L19" s="2"/>
      <c r="M19" s="35" t="s">
        <v>189</v>
      </c>
      <c r="N19" s="35" t="s">
        <v>190</v>
      </c>
      <c r="O19" s="35" t="s">
        <v>192</v>
      </c>
      <c r="P19" s="35" t="s">
        <v>193</v>
      </c>
      <c r="Q19" s="35" t="s">
        <v>191</v>
      </c>
      <c r="AE19" t="s">
        <v>585</v>
      </c>
      <c r="AF19" s="11" cm="1">
        <f t="array" ref="AF19">+_xll.BDP(AE19,AF$1)</f>
        <v>13.77342</v>
      </c>
      <c r="AG19" s="11" t="str" cm="1">
        <f t="array" ref="AG19">+_xll.BDP(AE19,AG$1)</f>
        <v>Industrials</v>
      </c>
      <c r="AH19" s="11" t="str" cm="1">
        <f t="array" ref="AH19">+_xll.BDP(AE19,AH$1)</f>
        <v>Distribution/Wholesale</v>
      </c>
      <c r="AK19" t="s">
        <v>797</v>
      </c>
      <c r="AL19" s="11" cm="1">
        <f t="array" ref="AL19">+_xll.BDP(AK19,AL$1)</f>
        <v>24.341090000000001</v>
      </c>
      <c r="AM19" s="11" t="str" cm="1">
        <f t="array" ref="AM19">+_xll.BDP(AK19,AM$1)</f>
        <v>Communication Services</v>
      </c>
      <c r="AN19" s="11" t="str" cm="1">
        <f t="array" ref="AN19">+_xll.BDP(AK19,AN$1)</f>
        <v>Software</v>
      </c>
      <c r="AQ19" t="s">
        <v>611</v>
      </c>
      <c r="AR19" s="11" cm="1">
        <f t="array" ref="AR19">+_xll.BDP(AQ19,AR$1)</f>
        <v>-28.968830000000001</v>
      </c>
      <c r="AS19" s="11" t="str" cm="1">
        <f t="array" ref="AS19">+_xll.BDP(AQ19,AS$1)</f>
        <v>Consumer Staples</v>
      </c>
      <c r="AT19" s="11" t="str" cm="1">
        <f t="array" ref="AT19">+_xll.BDP(AQ19,AT$1)</f>
        <v>Food</v>
      </c>
      <c r="AY19"/>
      <c r="BE19"/>
    </row>
    <row r="20" spans="1:57" x14ac:dyDescent="0.25">
      <c r="A20" s="11" t="s">
        <v>194</v>
      </c>
      <c r="B20" s="11" t="s">
        <v>201</v>
      </c>
      <c r="C20" s="7">
        <f>+_xll.BDP($B20,C$3)</f>
        <v>12.189</v>
      </c>
      <c r="D20" s="7">
        <f>+_xll.BDP($B20,D$3)</f>
        <v>6.6000000000000003E-2</v>
      </c>
      <c r="E20" s="7">
        <f>+_xll.BDP($B20,E$3)</f>
        <v>0.33300000000000002</v>
      </c>
      <c r="F20" s="7">
        <f>+_xll.BDP($B20,F$3)</f>
        <v>2.8639999999999999</v>
      </c>
      <c r="G20" s="7">
        <f>+_xll.BDP($B20,G$3)</f>
        <v>2.0259999999999998</v>
      </c>
      <c r="H20" s="78"/>
      <c r="I20" s="78"/>
      <c r="K20" s="11" t="s">
        <v>194</v>
      </c>
      <c r="L20" s="11" t="s">
        <v>238</v>
      </c>
      <c r="M20" s="7">
        <f>_xll.BDP($L20,$M$3)</f>
        <v>7.2220843336126599</v>
      </c>
      <c r="N20" s="7">
        <f>+_xll.BDP($L20,N$3)</f>
        <v>-1.5588880000000001</v>
      </c>
      <c r="O20" s="7">
        <f>+_xll.BDP($L20,O$3)</f>
        <v>6.1342939999999997</v>
      </c>
      <c r="P20" s="7">
        <f>+_xll.BDP($L20,P$3)</f>
        <v>-4.7627220000000001</v>
      </c>
      <c r="Q20" s="7">
        <f>+_xll.BDP($L20,Q$3)</f>
        <v>79.332920000000001</v>
      </c>
      <c r="AE20" t="s">
        <v>539</v>
      </c>
      <c r="AF20" s="11" cm="1">
        <f t="array" ref="AF20">+_xll.BDP(AE20,AF$1)</f>
        <v>24.99428</v>
      </c>
      <c r="AG20" s="11" t="str" cm="1">
        <f t="array" ref="AG20">+_xll.BDP(AE20,AG$1)</f>
        <v>Materials</v>
      </c>
      <c r="AH20" s="11" t="str" cm="1">
        <f t="array" ref="AH20">+_xll.BDP(AE20,AH$1)</f>
        <v>Mining</v>
      </c>
      <c r="AK20" t="s">
        <v>733</v>
      </c>
      <c r="AL20" s="11" cm="1">
        <f t="array" ref="AL20">+_xll.BDP(AK20,AL$1)</f>
        <v>-6.0021440000000004</v>
      </c>
      <c r="AM20" s="11" t="str" cm="1">
        <f t="array" ref="AM20">+_xll.BDP(AK20,AM$1)</f>
        <v>Materials</v>
      </c>
      <c r="AN20" s="11" t="str" cm="1">
        <f t="array" ref="AN20">+_xll.BDP(AK20,AN$1)</f>
        <v>Chemicals</v>
      </c>
      <c r="AQ20" t="s">
        <v>610</v>
      </c>
      <c r="AR20" s="11" cm="1">
        <f t="array" ref="AR20">+_xll.BDP(AQ20,AR$1)</f>
        <v>-25.834969999999998</v>
      </c>
      <c r="AS20" s="11" t="str" cm="1">
        <f t="array" ref="AS20">+_xll.BDP(AQ20,AS$1)</f>
        <v>Health Care</v>
      </c>
      <c r="AT20" s="11" t="str" cm="1">
        <f t="array" ref="AT20">+_xll.BDP(AQ20,AT$1)</f>
        <v>Healthcare-Products</v>
      </c>
      <c r="AY20"/>
      <c r="BE20"/>
    </row>
    <row r="21" spans="1:57" x14ac:dyDescent="0.25">
      <c r="A21" s="11" t="s">
        <v>195</v>
      </c>
      <c r="B21" s="11" t="s">
        <v>202</v>
      </c>
      <c r="C21" s="7">
        <f>+_xll.BDP($B21,C$3)</f>
        <v>8.827</v>
      </c>
      <c r="D21" s="7">
        <f>+_xll.BDP($B21,D$3)</f>
        <v>0.36399999999999999</v>
      </c>
      <c r="E21" s="7">
        <f>+_xll.BDP($B21,E$3)</f>
        <v>1.2370000000000001</v>
      </c>
      <c r="F21" s="7">
        <f>+_xll.BDP($B21,F$3)</f>
        <v>2.0419999999999998</v>
      </c>
      <c r="G21" s="7">
        <f>+_xll.BDP($B21,G$3)</f>
        <v>1.6080000000000001</v>
      </c>
      <c r="H21" s="78"/>
      <c r="I21" s="78"/>
      <c r="K21" s="11" t="s">
        <v>195</v>
      </c>
      <c r="L21" s="11" t="s">
        <v>239</v>
      </c>
      <c r="M21" s="7">
        <f>_xll.BDP($L21,$M$3)</f>
        <v>13.851444860828177</v>
      </c>
      <c r="N21" s="7">
        <f>+_xll.BDP($L21,N$3)</f>
        <v>-4.4060709999999998</v>
      </c>
      <c r="O21" s="7">
        <f>+_xll.BDP($L21,O$3)</f>
        <v>2.6549580000000002</v>
      </c>
      <c r="P21" s="7">
        <f>+_xll.BDP($L21,P$3)</f>
        <v>8.5043869999999995</v>
      </c>
      <c r="Q21" s="7">
        <f>+_xll.BDP($L21,Q$3)</f>
        <v>8.7802150000000001</v>
      </c>
      <c r="AE21" t="s">
        <v>548</v>
      </c>
      <c r="AF21" s="11" cm="1">
        <f t="array" ref="AF21">+_xll.BDP(AE21,AF$1)</f>
        <v>-42.115740000000002</v>
      </c>
      <c r="AG21" s="11" t="str" cm="1">
        <f t="array" ref="AG21">+_xll.BDP(AE21,AG$1)</f>
        <v>Materials</v>
      </c>
      <c r="AH21" s="11" t="str" cm="1">
        <f t="array" ref="AH21">+_xll.BDP(AE21,AH$1)</f>
        <v>Chemicals</v>
      </c>
      <c r="AK21" t="s">
        <v>697</v>
      </c>
      <c r="AL21" s="11" cm="1">
        <f t="array" ref="AL21">+_xll.BDP(AK21,AL$1)</f>
        <v>-39.162840000000003</v>
      </c>
      <c r="AM21" s="11" t="str" cm="1">
        <f t="array" ref="AM21">+_xll.BDP(AK21,AM$1)</f>
        <v>Materials</v>
      </c>
      <c r="AN21" s="11" t="str" cm="1">
        <f t="array" ref="AN21">+_xll.BDP(AK21,AN$1)</f>
        <v>Chemicals</v>
      </c>
      <c r="AQ21" t="s">
        <v>622</v>
      </c>
      <c r="AR21" s="11" cm="1">
        <f t="array" ref="AR21">+_xll.BDP(AQ21,AR$1)</f>
        <v>-19.21688</v>
      </c>
      <c r="AS21" s="11" t="str" cm="1">
        <f t="array" ref="AS21">+_xll.BDP(AQ21,AS$1)</f>
        <v>Financials</v>
      </c>
      <c r="AT21" s="11" t="str" cm="1">
        <f t="array" ref="AT21">+_xll.BDP(AQ21,AT$1)</f>
        <v>Banks</v>
      </c>
      <c r="AY21"/>
      <c r="BE21"/>
    </row>
    <row r="22" spans="1:57" x14ac:dyDescent="0.25">
      <c r="A22" s="11" t="s">
        <v>264</v>
      </c>
      <c r="B22" s="11" t="s">
        <v>220</v>
      </c>
      <c r="C22" s="7">
        <f>+_xll.BDP($B22,C$3)</f>
        <v>2.8460000000000001</v>
      </c>
      <c r="D22" s="7">
        <f>+_xll.BDP($B22,D$3)</f>
        <v>0.01</v>
      </c>
      <c r="E22" s="7">
        <f>+_xll.BDP($B22,E$3)</f>
        <v>-0.15</v>
      </c>
      <c r="F22" s="7">
        <f>+_xll.BDP($B22,F$3)</f>
        <v>-0.312</v>
      </c>
      <c r="G22" s="7">
        <f>+_xll.BDP($B22,G$3)</f>
        <v>-0.61399999999999999</v>
      </c>
      <c r="H22" s="78"/>
      <c r="I22" s="78"/>
      <c r="K22" s="11" t="s">
        <v>264</v>
      </c>
      <c r="L22" s="11" t="s">
        <v>240</v>
      </c>
      <c r="M22" s="7">
        <f>_xll.BDP($L22,$M$3)</f>
        <v>9.9729189860894287</v>
      </c>
      <c r="N22" s="7">
        <f>+_xll.BDP($L22,N$3)</f>
        <v>-5.3052279999999996</v>
      </c>
      <c r="O22" s="7">
        <f>+_xll.BDP($L22,O$3)</f>
        <v>-13.835889999999999</v>
      </c>
      <c r="P22" s="7">
        <f>+_xll.BDP($L22,P$3)</f>
        <v>-10.91436</v>
      </c>
      <c r="Q22" s="7">
        <f>+_xll.BDP($L22,Q$3)</f>
        <v>-2.717549</v>
      </c>
      <c r="AE22" t="s">
        <v>543</v>
      </c>
      <c r="AF22" s="11" cm="1">
        <f t="array" ref="AF22">+_xll.BDP(AE22,AF$1)</f>
        <v>2.5964109999999998</v>
      </c>
      <c r="AG22" s="11" t="str" cm="1">
        <f t="array" ref="AG22">+_xll.BDP(AE22,AG$1)</f>
        <v>Financials</v>
      </c>
      <c r="AH22" s="11" t="str" cm="1">
        <f t="array" ref="AH22">+_xll.BDP(AE22,AH$1)</f>
        <v>Diversified Finan Serv</v>
      </c>
      <c r="AK22" t="s">
        <v>847</v>
      </c>
      <c r="AL22" s="11" cm="1">
        <f t="array" ref="AL22">+_xll.BDP(AK22,AL$1)</f>
        <v>-19.4773</v>
      </c>
      <c r="AM22" s="11" t="str" cm="1">
        <f t="array" ref="AM22">+_xll.BDP(AK22,AM$1)</f>
        <v>Communication Services</v>
      </c>
      <c r="AN22" s="11" t="str" cm="1">
        <f t="array" ref="AN22">+_xll.BDP(AK22,AN$1)</f>
        <v>Software</v>
      </c>
      <c r="AQ22" t="s">
        <v>616</v>
      </c>
      <c r="AR22" s="11" cm="1">
        <f t="array" ref="AR22">+_xll.BDP(AQ22,AR$1)</f>
        <v>-29.993639999999999</v>
      </c>
      <c r="AS22" s="11" t="str" cm="1">
        <f t="array" ref="AS22">+_xll.BDP(AQ22,AS$1)</f>
        <v>Consumer Staples</v>
      </c>
      <c r="AT22" s="11" t="str" cm="1">
        <f t="array" ref="AT22">+_xll.BDP(AQ22,AT$1)</f>
        <v>Agriculture</v>
      </c>
      <c r="AY22"/>
      <c r="BE22"/>
    </row>
    <row r="23" spans="1:57" x14ac:dyDescent="0.25">
      <c r="A23" s="11" t="s">
        <v>199</v>
      </c>
      <c r="B23" s="11" t="s">
        <v>221</v>
      </c>
      <c r="C23" s="7">
        <f>+_xll.BDP($B23,C$3)</f>
        <v>7.1660000000000004</v>
      </c>
      <c r="D23" s="7">
        <f>+_xll.BDP($B23,D$3)</f>
        <v>0.33900000000000002</v>
      </c>
      <c r="E23" s="7">
        <f>+_xll.BDP($B23,E$3)</f>
        <v>0.80200000000000005</v>
      </c>
      <c r="F23" s="7">
        <f>+_xll.BDP($B23,F$3)</f>
        <v>1.1160000000000001</v>
      </c>
      <c r="G23" s="7">
        <f>+_xll.BDP($B23,G$3)</f>
        <v>0.24199999999999999</v>
      </c>
      <c r="H23" s="78"/>
      <c r="I23" s="78"/>
      <c r="K23" s="11" t="s">
        <v>199</v>
      </c>
      <c r="L23" s="11" t="s">
        <v>241</v>
      </c>
      <c r="M23" s="7">
        <f>_xll.BDP($L23,$M$3)</f>
        <v>19.456144366117375</v>
      </c>
      <c r="N23" s="7">
        <f>+_xll.BDP($L23,N$3)</f>
        <v>-0.82903059999999995</v>
      </c>
      <c r="O23" s="7">
        <f>+_xll.BDP($L23,O$3)</f>
        <v>-5.2053900000000004</v>
      </c>
      <c r="P23" s="7">
        <f>+_xll.BDP($L23,P$3)</f>
        <v>19.198740000000001</v>
      </c>
      <c r="Q23" s="7">
        <f>+_xll.BDP($L23,Q$3)</f>
        <v>88.301289999999995</v>
      </c>
      <c r="AE23" t="s">
        <v>574</v>
      </c>
      <c r="AF23" s="11" cm="1">
        <f t="array" ref="AF23">+_xll.BDP(AE23,AF$1)</f>
        <v>-52.50338</v>
      </c>
      <c r="AG23" s="11" t="str" cm="1">
        <f t="array" ref="AG23">+_xll.BDP(AE23,AG$1)</f>
        <v>Consumer Staples</v>
      </c>
      <c r="AH23" s="11" t="str" cm="1">
        <f t="array" ref="AH23">+_xll.BDP(AE23,AH$1)</f>
        <v>Food</v>
      </c>
      <c r="AK23" t="s">
        <v>822</v>
      </c>
      <c r="AL23" s="11" cm="1">
        <f t="array" ref="AL23">+_xll.BDP(AK23,AL$1)</f>
        <v>-23.489930000000001</v>
      </c>
      <c r="AM23" s="11" t="str" cm="1">
        <f t="array" ref="AM23">+_xll.BDP(AK23,AM$1)</f>
        <v>Materials</v>
      </c>
      <c r="AN23" s="11" t="str" cm="1">
        <f t="array" ref="AN23">+_xll.BDP(AK23,AN$1)</f>
        <v>Chemicals</v>
      </c>
      <c r="AQ23" t="s">
        <v>640</v>
      </c>
      <c r="AR23" s="11" cm="1">
        <f t="array" ref="AR23">+_xll.BDP(AQ23,AR$1)</f>
        <v>-0.87922540000000005</v>
      </c>
      <c r="AS23" s="11" t="str" cm="1">
        <f t="array" ref="AS23">+_xll.BDP(AQ23,AS$1)</f>
        <v>Financials</v>
      </c>
      <c r="AT23" s="11" t="str" cm="1">
        <f t="array" ref="AT23">+_xll.BDP(AQ23,AT$1)</f>
        <v>Banks</v>
      </c>
    </row>
    <row r="24" spans="1:57" x14ac:dyDescent="0.25">
      <c r="A24" s="11" t="s">
        <v>184</v>
      </c>
      <c r="B24" s="11" t="s">
        <v>212</v>
      </c>
      <c r="C24" s="7">
        <f>+_xll.BDP($B24,C$3)</f>
        <v>2.98</v>
      </c>
      <c r="D24" s="7">
        <f>+_xll.BDP($B24,D$3)</f>
        <v>0.23400000000000001</v>
      </c>
      <c r="E24" s="7">
        <f>+_xll.BDP($B24,E$3)</f>
        <v>1.9430000000000001</v>
      </c>
      <c r="F24" s="7">
        <f>+_xll.BDP($B24,F$3)</f>
        <v>2.0830000000000002</v>
      </c>
      <c r="G24" s="7">
        <f>+_xll.BDP($B24,G$3)</f>
        <v>-3.6550000000000002</v>
      </c>
      <c r="H24" s="78"/>
      <c r="I24" s="78"/>
      <c r="K24" s="11" t="s">
        <v>184</v>
      </c>
      <c r="L24" s="11" t="s">
        <v>242</v>
      </c>
      <c r="M24" s="7">
        <f>_xll.BDP($L24,$M$3)</f>
        <v>11.29291671590771</v>
      </c>
      <c r="N24" s="7">
        <f>+_xll.BDP($L24,N$3)</f>
        <v>0.87532350000000003</v>
      </c>
      <c r="O24" s="7">
        <f>+_xll.BDP($L24,O$3)</f>
        <v>2.3161839999999998</v>
      </c>
      <c r="P24" s="7">
        <f>+_xll.BDP($L24,P$3)</f>
        <v>6.0286920000000004</v>
      </c>
      <c r="Q24" s="7">
        <f>+_xll.BDP($L24,Q$3)</f>
        <v>7.4503259999999996</v>
      </c>
      <c r="AE24" t="s">
        <v>509</v>
      </c>
      <c r="AF24" s="11" cm="1">
        <f t="array" ref="AF24">+_xll.BDP(AE24,AF$1)</f>
        <v>16.120640000000002</v>
      </c>
      <c r="AG24" s="11" t="str" cm="1">
        <f t="array" ref="AG24">+_xll.BDP(AE24,AG$1)</f>
        <v>Financials</v>
      </c>
      <c r="AH24" s="11" t="str" cm="1">
        <f t="array" ref="AH24">+_xll.BDP(AE24,AH$1)</f>
        <v>Banks</v>
      </c>
      <c r="AK24" t="s">
        <v>817</v>
      </c>
      <c r="AL24" s="11" cm="1">
        <f t="array" ref="AL24">+_xll.BDP(AK24,AL$1)</f>
        <v>1.984127</v>
      </c>
      <c r="AM24" s="11" t="str" cm="1">
        <f t="array" ref="AM24">+_xll.BDP(AK24,AM$1)</f>
        <v>Information Technology</v>
      </c>
      <c r="AN24" s="11" t="str" cm="1">
        <f t="array" ref="AN24">+_xll.BDP(AK24,AN$1)</f>
        <v>Electronics</v>
      </c>
      <c r="AQ24" t="s">
        <v>651</v>
      </c>
      <c r="AR24" s="11" cm="1">
        <f t="array" ref="AR24">+_xll.BDP(AQ24,AR$1)</f>
        <v>-4.0770369999999998</v>
      </c>
      <c r="AS24" s="11" t="str" cm="1">
        <f t="array" ref="AS24">+_xll.BDP(AQ24,AS$1)</f>
        <v>Consumer Staples</v>
      </c>
      <c r="AT24" s="11" t="str" cm="1">
        <f t="array" ref="AT24">+_xll.BDP(AQ24,AT$1)</f>
        <v>Food</v>
      </c>
    </row>
    <row r="25" spans="1:57" x14ac:dyDescent="0.25">
      <c r="A25" s="2" t="s">
        <v>200</v>
      </c>
      <c r="B25" s="2" t="s">
        <v>222</v>
      </c>
      <c r="C25" s="35">
        <f>+_xll.BDP($B25,C$3)</f>
        <v>9.9256999999999991</v>
      </c>
      <c r="D25" s="35">
        <f>+_xll.BDP($B25,D$3)</f>
        <v>-2.5897999999999999</v>
      </c>
      <c r="E25" s="35">
        <f>+_xll.BDP($B25,E$3)</f>
        <v>2.0632000000000001</v>
      </c>
      <c r="F25" s="35">
        <f>+_xll.BDP($B25,F$3)</f>
        <v>2.7625000000000002</v>
      </c>
      <c r="G25" s="35">
        <f>+_xll.BDP($B25,G$3)</f>
        <v>2.0802</v>
      </c>
      <c r="H25" s="78"/>
      <c r="I25" s="78"/>
      <c r="K25" s="2" t="s">
        <v>200</v>
      </c>
      <c r="L25" s="2" t="s">
        <v>243</v>
      </c>
      <c r="M25" s="35" t="str">
        <f>_xll.BDP($L25,$M$3)</f>
        <v>#N/A N/A</v>
      </c>
      <c r="N25" s="35" t="str">
        <f>+_xll.BDP($L25,N$3)</f>
        <v>#N/A N/A</v>
      </c>
      <c r="O25" s="35" t="str">
        <f>+_xll.BDP($L25,O$3)</f>
        <v>#N/A N/A</v>
      </c>
      <c r="P25" s="35" t="str">
        <f>+_xll.BDP($L25,P$3)</f>
        <v>#N/A N/A</v>
      </c>
      <c r="Q25" s="35" t="str">
        <f>+_xll.BDP($L25,Q$3)</f>
        <v>#N/A N/A</v>
      </c>
      <c r="AE25" t="s">
        <v>568</v>
      </c>
      <c r="AF25" s="11" t="str" cm="1">
        <f t="array" ref="AF25">+_xll.BDP(AE25,AF$1)</f>
        <v>#N/A N/A</v>
      </c>
      <c r="AG25" s="11" t="str" cm="1">
        <f t="array" ref="AG25">+_xll.BDP(AE25,AG$1)</f>
        <v>Financials</v>
      </c>
      <c r="AH25" s="11" t="str" cm="1">
        <f t="array" ref="AH25">+_xll.BDP(AE25,AH$1)</f>
        <v>Insurance</v>
      </c>
      <c r="AK25" t="s">
        <v>741</v>
      </c>
      <c r="AL25" s="11" cm="1">
        <f t="array" ref="AL25">+_xll.BDP(AK25,AL$1)</f>
        <v>10.190580000000001</v>
      </c>
      <c r="AM25" s="11" t="str" cm="1">
        <f t="array" ref="AM25">+_xll.BDP(AK25,AM$1)</f>
        <v>Materials</v>
      </c>
      <c r="AN25" s="11" t="str" cm="1">
        <f t="array" ref="AN25">+_xll.BDP(AK25,AN$1)</f>
        <v>Iron/Steel</v>
      </c>
      <c r="AQ25" t="s">
        <v>654</v>
      </c>
      <c r="AR25" s="11" cm="1">
        <f t="array" ref="AR25">+_xll.BDP(AQ25,AR$1)</f>
        <v>-34.031840000000003</v>
      </c>
      <c r="AS25" s="11" t="str" cm="1">
        <f t="array" ref="AS25">+_xll.BDP(AQ25,AS$1)</f>
        <v>Financials</v>
      </c>
      <c r="AT25" s="11" t="str" cm="1">
        <f t="array" ref="AT25">+_xll.BDP(AQ25,AT$1)</f>
        <v>Insurance</v>
      </c>
    </row>
    <row r="26" spans="1:57" x14ac:dyDescent="0.25">
      <c r="F26" s="7"/>
      <c r="G26" s="7"/>
      <c r="H26" s="7"/>
      <c r="I26" s="7"/>
      <c r="J26" s="7"/>
      <c r="K26" s="7"/>
      <c r="S26" s="7"/>
      <c r="AE26" t="s">
        <v>502</v>
      </c>
      <c r="AF26" s="11" cm="1">
        <f t="array" ref="AF26">+_xll.BDP(AE26,AF$1)</f>
        <v>1.7207680000000001</v>
      </c>
      <c r="AG26" s="11" t="str" cm="1">
        <f t="array" ref="AG26">+_xll.BDP(AE26,AG$1)</f>
        <v>Real Estate</v>
      </c>
      <c r="AH26" s="11" t="str" cm="1">
        <f t="array" ref="AH26">+_xll.BDP(AE26,AH$1)</f>
        <v>REITS</v>
      </c>
      <c r="AK26" t="s">
        <v>657</v>
      </c>
      <c r="AL26" s="11" cm="1">
        <f t="array" ref="AL26">+_xll.BDP(AK26,AL$1)</f>
        <v>-28.83249</v>
      </c>
      <c r="AM26" s="11" t="str" cm="1">
        <f t="array" ref="AM26">+_xll.BDP(AK26,AM$1)</f>
        <v>Communication Services</v>
      </c>
      <c r="AN26" s="11" t="str" cm="1">
        <f t="array" ref="AN26">+_xll.BDP(AK26,AN$1)</f>
        <v>Internet</v>
      </c>
      <c r="AQ26" t="s">
        <v>650</v>
      </c>
      <c r="AR26" s="11" cm="1">
        <f t="array" ref="AR26">+_xll.BDP(AQ26,AR$1)</f>
        <v>-81.252420000000001</v>
      </c>
      <c r="AS26" s="11" t="str" cm="1">
        <f t="array" ref="AS26">+_xll.BDP(AQ26,AS$1)</f>
        <v>Consumer Discretionary</v>
      </c>
      <c r="AT26" s="11" t="str" cm="1">
        <f t="array" ref="AT26">+_xll.BDP(AQ26,AT$1)</f>
        <v>Commercial Services</v>
      </c>
    </row>
    <row r="27" spans="1:57" x14ac:dyDescent="0.25">
      <c r="AE27" t="s">
        <v>550</v>
      </c>
      <c r="AF27" s="11" cm="1">
        <f t="array" ref="AF27">+_xll.BDP(AE27,AF$1)</f>
        <v>-28.9924</v>
      </c>
      <c r="AG27" s="11" t="str" cm="1">
        <f t="array" ref="AG27">+_xll.BDP(AE27,AG$1)</f>
        <v>Consumer Discretionary</v>
      </c>
      <c r="AH27" s="11" t="str" cm="1">
        <f t="array" ref="AH27">+_xll.BDP(AE27,AH$1)</f>
        <v>Home Builders</v>
      </c>
      <c r="AK27" t="s">
        <v>768</v>
      </c>
      <c r="AL27" s="11" cm="1">
        <f t="array" ref="AL27">+_xll.BDP(AK27,AL$1)</f>
        <v>-26.18384</v>
      </c>
      <c r="AM27" s="11" t="str" cm="1">
        <f t="array" ref="AM27">+_xll.BDP(AK27,AM$1)</f>
        <v>Consumer Staples</v>
      </c>
      <c r="AN27" s="11" t="str" cm="1">
        <f t="array" ref="AN27">+_xll.BDP(AK27,AN$1)</f>
        <v>Beverages</v>
      </c>
      <c r="AQ27" t="s">
        <v>626</v>
      </c>
      <c r="AR27" s="11" cm="1">
        <f t="array" ref="AR27">+_xll.BDP(AQ27,AR$1)</f>
        <v>16.12745</v>
      </c>
      <c r="AS27" s="11" t="str" cm="1">
        <f t="array" ref="AS27">+_xll.BDP(AQ27,AS$1)</f>
        <v>Utilities</v>
      </c>
      <c r="AT27" s="11" t="str" cm="1">
        <f t="array" ref="AT27">+_xll.BDP(AQ27,AT$1)</f>
        <v>Electric</v>
      </c>
    </row>
    <row r="28" spans="1:57" hidden="1" x14ac:dyDescent="0.25">
      <c r="C28" s="7">
        <f>+MAX(C4:C17)</f>
        <v>3.58</v>
      </c>
      <c r="D28" s="7">
        <f>+MAX(D4:D17)</f>
        <v>0.67</v>
      </c>
      <c r="E28" s="7">
        <f>+MAX(E4:E17)</f>
        <v>1.6</v>
      </c>
      <c r="F28" s="7">
        <f>+MAX(F4:F17)</f>
        <v>2.0270000000000001</v>
      </c>
      <c r="G28" s="7">
        <f>+MAX(G4:G17)</f>
        <v>1.417</v>
      </c>
      <c r="H28" s="7"/>
      <c r="I28" s="7"/>
      <c r="M28" s="7">
        <f t="shared" ref="M28:Q28" si="0">+MAX(M4:M17)</f>
        <v>30.876037967509145</v>
      </c>
      <c r="N28" s="7">
        <f t="shared" si="0"/>
        <v>3.6434690000000001</v>
      </c>
      <c r="O28" s="7">
        <f t="shared" si="0"/>
        <v>4.9675570000000002</v>
      </c>
      <c r="P28" s="7">
        <f t="shared" si="0"/>
        <v>20.407540000000001</v>
      </c>
      <c r="Q28" s="7">
        <f t="shared" si="0"/>
        <v>87.068539999999999</v>
      </c>
      <c r="V28" s="7">
        <f>+MAX(N72:N85)</f>
        <v>2.9569999999999999</v>
      </c>
      <c r="W28" s="7">
        <f>+MAX(O72:O85)</f>
        <v>2.0737000000000001</v>
      </c>
      <c r="X28" s="7">
        <f>+MAX(P72:P85)</f>
        <v>7.7675999999999998</v>
      </c>
      <c r="Y28" s="7">
        <f>+MAX(Q72:Q85)</f>
        <v>11.199199999999999</v>
      </c>
      <c r="Z28" s="7">
        <f>+MAX(R72:R85)</f>
        <v>6.5266999999999999</v>
      </c>
      <c r="AE28" t="s">
        <v>526</v>
      </c>
      <c r="AF28" s="11" cm="1">
        <f t="array" ref="AF28">+_xll.BDP(AE28,AF$1)</f>
        <v>-87.164389999999997</v>
      </c>
      <c r="AG28" s="11" t="str" cm="1">
        <f t="array" ref="AG28">+_xll.BDP(AE28,AG$1)</f>
        <v>Materials</v>
      </c>
      <c r="AH28" s="11" t="str" cm="1">
        <f t="array" ref="AH28">+_xll.BDP(AE28,AH$1)</f>
        <v>Iron/Steel</v>
      </c>
      <c r="AK28" t="s">
        <v>681</v>
      </c>
      <c r="AL28" s="11" cm="1">
        <f t="array" ref="AL28">+_xll.BDP(AK28,AL$1)</f>
        <v>5.0666669999999998</v>
      </c>
      <c r="AM28" s="11" t="str" cm="1">
        <f t="array" ref="AM28">+_xll.BDP(AK28,AM$1)</f>
        <v>Consumer Discretionary</v>
      </c>
      <c r="AN28" s="11" t="str" cm="1">
        <f t="array" ref="AN28">+_xll.BDP(AK28,AN$1)</f>
        <v>Retail</v>
      </c>
      <c r="AQ28" t="s">
        <v>631</v>
      </c>
      <c r="AR28" s="11" cm="1">
        <f t="array" ref="AR28">+_xll.BDP(AQ28,AR$1)</f>
        <v>39.529359999999997</v>
      </c>
      <c r="AS28" s="11" t="str" cm="1">
        <f t="array" ref="AS28">+_xll.BDP(AQ28,AS$1)</f>
        <v>Consumer Discretionary</v>
      </c>
      <c r="AT28" s="11" t="str" cm="1">
        <f t="array" ref="AT28">+_xll.BDP(AQ28,AT$1)</f>
        <v>Auto Manufacturers</v>
      </c>
      <c r="AW28" s="11" t="s">
        <v>272</v>
      </c>
      <c r="AX28" s="11" t="s">
        <v>292</v>
      </c>
    </row>
    <row r="29" spans="1:57" hidden="1" x14ac:dyDescent="0.25">
      <c r="C29" s="7">
        <f>+MIN(C4:C17)</f>
        <v>0.25</v>
      </c>
      <c r="D29" s="7">
        <f>+MIN(D4:D17)</f>
        <v>3.3000000000000002E-2</v>
      </c>
      <c r="E29" s="7">
        <f>+MIN(E4:E17)</f>
        <v>0.153</v>
      </c>
      <c r="F29" s="7">
        <f>+MIN(F4:F17)</f>
        <v>0.17799999999999999</v>
      </c>
      <c r="G29" s="7">
        <f>+MIN(G4:G17)</f>
        <v>-1.7850000000000001</v>
      </c>
      <c r="H29" s="7"/>
      <c r="I29" s="7"/>
      <c r="M29" s="7">
        <f>+MIN(M4:M17)</f>
        <v>9.4781709741247173</v>
      </c>
      <c r="N29" s="7">
        <f>+MIN(N4:N17)</f>
        <v>-3.549013</v>
      </c>
      <c r="O29" s="7">
        <f>+MIN(O4:O17)</f>
        <v>-10.3681</v>
      </c>
      <c r="P29" s="7">
        <f>+MIN(P4:P17)</f>
        <v>-14.87984</v>
      </c>
      <c r="Q29" s="7">
        <f>+MIN(Q4:Q17)</f>
        <v>-16.017150000000001</v>
      </c>
      <c r="V29" s="7">
        <f>+MIN(N72:N85)</f>
        <v>-0.753</v>
      </c>
      <c r="W29" s="7">
        <f>+MIN(O72:O85)</f>
        <v>-5.8970000000000002</v>
      </c>
      <c r="X29" s="7">
        <f>+MIN(P72:P85)</f>
        <v>-11.5837</v>
      </c>
      <c r="Y29" s="7">
        <f>+MIN(Q72:Q85)</f>
        <v>-15.8916</v>
      </c>
      <c r="Z29" s="7">
        <f>+MIN(R72:R85)</f>
        <v>-15.0191</v>
      </c>
      <c r="AE29" t="s">
        <v>527</v>
      </c>
      <c r="AF29" s="11" cm="1">
        <f t="array" ref="AF29">+_xll.BDP(AE29,AF$1)</f>
        <v>2.3893460000000002</v>
      </c>
      <c r="AG29" s="11" t="str" cm="1">
        <f t="array" ref="AG29">+_xll.BDP(AE29,AG$1)</f>
        <v>Consumer Discretionary</v>
      </c>
      <c r="AH29" s="11" t="str" cm="1">
        <f t="array" ref="AH29">+_xll.BDP(AE29,AH$1)</f>
        <v>Lodging</v>
      </c>
      <c r="AK29" t="s">
        <v>682</v>
      </c>
      <c r="AL29" s="11" cm="1">
        <f t="array" ref="AL29">+_xll.BDP(AK29,AL$1)</f>
        <v>11.854839999999999</v>
      </c>
      <c r="AM29" s="11" t="str" cm="1">
        <f t="array" ref="AM29">+_xll.BDP(AK29,AM$1)</f>
        <v>Information Technology</v>
      </c>
      <c r="AN29" s="11" t="str" cm="1">
        <f t="array" ref="AN29">+_xll.BDP(AK29,AN$1)</f>
        <v>Semiconductors</v>
      </c>
      <c r="AQ29" t="s">
        <v>632</v>
      </c>
      <c r="AR29" s="11" cm="1">
        <f t="array" ref="AR29">+_xll.BDP(AQ29,AR$1)</f>
        <v>-16.695060000000002</v>
      </c>
      <c r="AS29" s="11" t="str" cm="1">
        <f t="array" ref="AS29">+_xll.BDP(AQ29,AS$1)</f>
        <v>Industrials</v>
      </c>
      <c r="AT29" s="11" t="str" cm="1">
        <f t="array" ref="AT29">+_xll.BDP(AQ29,AT$1)</f>
        <v>Commercial Services</v>
      </c>
      <c r="AW29" s="11" t="s">
        <v>272</v>
      </c>
      <c r="AX29" s="11" t="s">
        <v>292</v>
      </c>
    </row>
    <row r="30" spans="1:57" hidden="1" x14ac:dyDescent="0.25">
      <c r="C30" s="7">
        <f>+MAX(C20:C25)</f>
        <v>12.189</v>
      </c>
      <c r="D30" s="7">
        <f>+MAX(D20:D25)</f>
        <v>0.36399999999999999</v>
      </c>
      <c r="E30" s="7">
        <f>+MAX(E20:E25)</f>
        <v>2.0632000000000001</v>
      </c>
      <c r="F30" s="7">
        <f>+MAX(F20:F25)</f>
        <v>2.8639999999999999</v>
      </c>
      <c r="G30" s="7">
        <f>+MAX(G20:G25)</f>
        <v>2.0802</v>
      </c>
      <c r="H30" s="7"/>
      <c r="I30" s="7"/>
      <c r="M30" s="7">
        <f t="shared" ref="M30:Q30" si="1">+MAX(M20:M25)</f>
        <v>19.456144366117375</v>
      </c>
      <c r="N30" s="7">
        <f t="shared" si="1"/>
        <v>0.87532350000000003</v>
      </c>
      <c r="O30" s="7">
        <f t="shared" si="1"/>
        <v>6.1342939999999997</v>
      </c>
      <c r="P30" s="7">
        <f t="shared" si="1"/>
        <v>19.198740000000001</v>
      </c>
      <c r="Q30" s="7">
        <f t="shared" si="1"/>
        <v>88.301289999999995</v>
      </c>
      <c r="V30" s="7">
        <f>+MAX(N88:N93)</f>
        <v>16.239999999999998</v>
      </c>
      <c r="W30" s="7">
        <f>+MAX(O88:O93)</f>
        <v>6.7912999999999997</v>
      </c>
      <c r="X30" s="7">
        <f>+MAX(P88:P93)</f>
        <v>21.118099999999998</v>
      </c>
      <c r="Y30" s="7">
        <f>+MAX(Q88:Q93)</f>
        <v>20.451699999999999</v>
      </c>
      <c r="Z30" s="7">
        <f>+MAX(R88:R93)</f>
        <v>5.9010999999999996</v>
      </c>
      <c r="AE30" t="s">
        <v>528</v>
      </c>
      <c r="AF30" s="11" cm="1">
        <f t="array" ref="AF30">+_xll.BDP(AE30,AF$1)</f>
        <v>6.4575649999999998</v>
      </c>
      <c r="AG30" s="11" t="str" cm="1">
        <f t="array" ref="AG30">+_xll.BDP(AE30,AG$1)</f>
        <v>#N/A N/A</v>
      </c>
      <c r="AH30" s="11" t="str" cm="1">
        <f t="array" ref="AH30">+_xll.BDP(AE30,AH$1)</f>
        <v>Closed-end Funds</v>
      </c>
      <c r="AK30" t="s">
        <v>683</v>
      </c>
      <c r="AL30" s="11" cm="1">
        <f t="array" ref="AL30">+_xll.BDP(AK30,AL$1)</f>
        <v>-25.513020000000001</v>
      </c>
      <c r="AM30" s="11" t="str" cm="1">
        <f t="array" ref="AM30">+_xll.BDP(AK30,AM$1)</f>
        <v>Materials</v>
      </c>
      <c r="AN30" s="11" t="str" cm="1">
        <f t="array" ref="AN30">+_xll.BDP(AK30,AN$1)</f>
        <v>Chemicals</v>
      </c>
      <c r="AQ30" t="s">
        <v>633</v>
      </c>
      <c r="AR30" s="11" cm="1">
        <f t="array" ref="AR30">+_xll.BDP(AQ30,AR$1)</f>
        <v>-38.998489999999997</v>
      </c>
      <c r="AS30" s="11" t="str" cm="1">
        <f t="array" ref="AS30">+_xll.BDP(AQ30,AS$1)</f>
        <v>Consumer Staples</v>
      </c>
      <c r="AT30" s="11" t="str" cm="1">
        <f t="array" ref="AT30">+_xll.BDP(AQ30,AT$1)</f>
        <v>Beverages</v>
      </c>
      <c r="AW30" s="11" t="s">
        <v>277</v>
      </c>
      <c r="AX30" s="11" t="s">
        <v>295</v>
      </c>
    </row>
    <row r="31" spans="1:57" hidden="1" x14ac:dyDescent="0.25">
      <c r="C31" s="7">
        <f>+MIN(C20:C25)</f>
        <v>2.8460000000000001</v>
      </c>
      <c r="D31" s="7">
        <f>+MIN(D20:D25)</f>
        <v>-2.5897999999999999</v>
      </c>
      <c r="E31" s="7">
        <f>+MIN(E20:E25)</f>
        <v>-0.15</v>
      </c>
      <c r="F31" s="7">
        <f>+MIN(F20:F25)</f>
        <v>-0.312</v>
      </c>
      <c r="G31" s="7">
        <f>+MIN(G20:G25)</f>
        <v>-3.6550000000000002</v>
      </c>
      <c r="H31" s="7"/>
      <c r="I31" s="7"/>
      <c r="M31" s="7">
        <f>+MIN(M20:M25)</f>
        <v>7.2220843336126599</v>
      </c>
      <c r="N31" s="7">
        <f>+MIN(N20:N25)</f>
        <v>-5.3052279999999996</v>
      </c>
      <c r="O31" s="7">
        <f>+MIN(O20:O25)</f>
        <v>-13.835889999999999</v>
      </c>
      <c r="P31" s="7">
        <f>+MIN(P20:P25)</f>
        <v>-10.91436</v>
      </c>
      <c r="Q31" s="7">
        <f>+MIN(Q20:Q25)</f>
        <v>-2.717549</v>
      </c>
      <c r="V31" s="7">
        <f>+MIN(N88:N93)</f>
        <v>6.2140000000000001E-2</v>
      </c>
      <c r="W31" s="7">
        <f>+MIN(O88:O93)</f>
        <v>-36.794699999999999</v>
      </c>
      <c r="X31" s="7">
        <f>+MIN(P88:P93)</f>
        <v>-38.3294</v>
      </c>
      <c r="Y31" s="7">
        <f>+MIN(Q88:Q93)</f>
        <v>-37.986199999999997</v>
      </c>
      <c r="Z31" s="7">
        <f>+MIN(R88:R93)</f>
        <v>-50.295699999999997</v>
      </c>
      <c r="AE31" t="s">
        <v>529</v>
      </c>
      <c r="AF31" s="11" cm="1">
        <f t="array" ref="AF31">+_xll.BDP(AE31,AF$1)</f>
        <v>-19.32348</v>
      </c>
      <c r="AG31" s="11" t="str" cm="1">
        <f t="array" ref="AG31">+_xll.BDP(AE31,AG$1)</f>
        <v>Consumer Discretionary</v>
      </c>
      <c r="AH31" s="11" t="str" cm="1">
        <f t="array" ref="AH31">+_xll.BDP(AE31,AH$1)</f>
        <v>Retail</v>
      </c>
      <c r="AK31" t="s">
        <v>684</v>
      </c>
      <c r="AL31" s="11" cm="1">
        <f t="array" ref="AL31">+_xll.BDP(AK31,AL$1)</f>
        <v>-27.588049999999999</v>
      </c>
      <c r="AM31" s="11" t="str" cm="1">
        <f t="array" ref="AM31">+_xll.BDP(AK31,AM$1)</f>
        <v>Consumer Discretionary</v>
      </c>
      <c r="AN31" s="11" t="str" cm="1">
        <f t="array" ref="AN31">+_xll.BDP(AK31,AN$1)</f>
        <v>Electrical Compo&amp;Equip</v>
      </c>
      <c r="AQ31" t="s">
        <v>634</v>
      </c>
      <c r="AR31" s="11" cm="1">
        <f t="array" ref="AR31">+_xll.BDP(AQ31,AR$1)</f>
        <v>-22.397639999999999</v>
      </c>
      <c r="AS31" s="11" t="str" cm="1">
        <f t="array" ref="AS31">+_xll.BDP(AQ31,AS$1)</f>
        <v>Information Technology</v>
      </c>
      <c r="AT31" s="11" t="str" cm="1">
        <f t="array" ref="AT31">+_xll.BDP(AQ31,AT$1)</f>
        <v>Electronics</v>
      </c>
      <c r="AW31" s="11" t="s">
        <v>286</v>
      </c>
      <c r="AX31" s="11" t="s">
        <v>881</v>
      </c>
    </row>
    <row r="32" spans="1:57" hidden="1" x14ac:dyDescent="0.25">
      <c r="AE32" t="s">
        <v>530</v>
      </c>
      <c r="AF32" s="11" cm="1">
        <f t="array" ref="AF32">+_xll.BDP(AE32,AF$1)</f>
        <v>19.99231</v>
      </c>
      <c r="AG32" s="11" t="str" cm="1">
        <f t="array" ref="AG32">+_xll.BDP(AE32,AG$1)</f>
        <v>Materials</v>
      </c>
      <c r="AH32" s="11" t="str" cm="1">
        <f t="array" ref="AH32">+_xll.BDP(AE32,AH$1)</f>
        <v>Mining</v>
      </c>
      <c r="AK32" t="s">
        <v>685</v>
      </c>
      <c r="AL32" s="11" cm="1">
        <f t="array" ref="AL32">+_xll.BDP(AK32,AL$1)</f>
        <v>5.7297539999999998</v>
      </c>
      <c r="AM32" s="11" t="str" cm="1">
        <f t="array" ref="AM32">+_xll.BDP(AK32,AM$1)</f>
        <v>Consumer Discretionary</v>
      </c>
      <c r="AN32" s="11" t="str" cm="1">
        <f t="array" ref="AN32">+_xll.BDP(AK32,AN$1)</f>
        <v>Auto Parts&amp;Equipment</v>
      </c>
      <c r="AQ32" t="s">
        <v>635</v>
      </c>
      <c r="AR32" s="11" cm="1">
        <f t="array" ref="AR32">+_xll.BDP(AQ32,AR$1)</f>
        <v>-12.35955</v>
      </c>
      <c r="AS32" s="11" t="str" cm="1">
        <f t="array" ref="AS32">+_xll.BDP(AQ32,AS$1)</f>
        <v>Financials</v>
      </c>
      <c r="AT32" s="11" t="str" cm="1">
        <f t="array" ref="AT32">+_xll.BDP(AQ32,AT$1)</f>
        <v>Banks</v>
      </c>
    </row>
    <row r="33" spans="1:46" x14ac:dyDescent="0.25">
      <c r="AE33" t="s">
        <v>553</v>
      </c>
      <c r="AF33" s="11" cm="1">
        <f t="array" ref="AF33">+_xll.BDP(AE33,AF$1)</f>
        <v>-5.0642149999999999</v>
      </c>
      <c r="AG33" s="11" t="str" cm="1">
        <f t="array" ref="AG33">+_xll.BDP(AE33,AG$1)</f>
        <v>Materials</v>
      </c>
      <c r="AH33" s="11" t="str" cm="1">
        <f t="array" ref="AH33">+_xll.BDP(AE33,AH$1)</f>
        <v>Building Materials</v>
      </c>
      <c r="AK33" t="s">
        <v>688</v>
      </c>
      <c r="AL33" s="11" cm="1">
        <f t="array" ref="AL33">+_xll.BDP(AK33,AL$1)</f>
        <v>-12.88462</v>
      </c>
      <c r="AM33" s="11" t="str" cm="1">
        <f t="array" ref="AM33">+_xll.BDP(AK33,AM$1)</f>
        <v>Industrials</v>
      </c>
      <c r="AN33" s="11" t="str" cm="1">
        <f t="array" ref="AN33">+_xll.BDP(AK33,AN$1)</f>
        <v>Machinery-Diversified</v>
      </c>
      <c r="AQ33" t="s">
        <v>612</v>
      </c>
      <c r="AR33" s="11" cm="1">
        <f t="array" ref="AR33">+_xll.BDP(AQ33,AR$1)</f>
        <v>-51.824820000000003</v>
      </c>
      <c r="AS33" s="11" t="str" cm="1">
        <f t="array" ref="AS33">+_xll.BDP(AQ33,AS$1)</f>
        <v>Health Care</v>
      </c>
      <c r="AT33" s="11" t="str" cm="1">
        <f t="array" ref="AT33">+_xll.BDP(AQ33,AT$1)</f>
        <v>Pharmaceuticals</v>
      </c>
    </row>
    <row r="34" spans="1:46" x14ac:dyDescent="0.25">
      <c r="A34" s="29" t="s">
        <v>268</v>
      </c>
      <c r="B34" s="29"/>
      <c r="K34" s="29" t="s">
        <v>269</v>
      </c>
      <c r="L34" s="29"/>
      <c r="AE34" t="s">
        <v>515</v>
      </c>
      <c r="AF34" s="11" cm="1">
        <f t="array" ref="AF34">+_xll.BDP(AE34,AF$1)</f>
        <v>-29.132539999999999</v>
      </c>
      <c r="AG34" s="11" t="str" cm="1">
        <f t="array" ref="AG34">+_xll.BDP(AE34,AG$1)</f>
        <v>Financials</v>
      </c>
      <c r="AH34" s="11" t="str" cm="1">
        <f t="array" ref="AH34">+_xll.BDP(AE34,AH$1)</f>
        <v>Insurance</v>
      </c>
      <c r="AK34" t="s">
        <v>660</v>
      </c>
      <c r="AL34" s="11" cm="1">
        <f t="array" ref="AL34">+_xll.BDP(AK34,AL$1)</f>
        <v>-7.7822209999999998</v>
      </c>
      <c r="AM34" s="11" t="str" cm="1">
        <f t="array" ref="AM34">+_xll.BDP(AK34,AM$1)</f>
        <v>Industrials</v>
      </c>
      <c r="AN34" s="11" t="str" cm="1">
        <f t="array" ref="AN34">+_xll.BDP(AK34,AN$1)</f>
        <v>Machinery-Constr&amp;Mining</v>
      </c>
      <c r="AQ34" t="s">
        <v>615</v>
      </c>
      <c r="AR34" s="11" cm="1">
        <f t="array" ref="AR34">+_xll.BDP(AQ34,AR$1)</f>
        <v>48.971400000000003</v>
      </c>
      <c r="AS34" s="11" t="str" cm="1">
        <f t="array" ref="AS34">+_xll.BDP(AQ34,AS$1)</f>
        <v>Energy</v>
      </c>
      <c r="AT34" s="11" t="str" cm="1">
        <f t="array" ref="AT34">+_xll.BDP(AQ34,AT$1)</f>
        <v>Coal</v>
      </c>
    </row>
    <row r="35" spans="1:46" x14ac:dyDescent="0.25">
      <c r="A35" s="2"/>
      <c r="B35" s="2"/>
      <c r="C35" s="35" t="s">
        <v>924</v>
      </c>
      <c r="D35" s="35" t="s">
        <v>923</v>
      </c>
      <c r="E35" s="35" t="s">
        <v>922</v>
      </c>
      <c r="F35" s="35" t="s">
        <v>190</v>
      </c>
      <c r="G35" s="35" t="s">
        <v>192</v>
      </c>
      <c r="H35" s="35" t="s">
        <v>193</v>
      </c>
      <c r="I35" s="35" t="s">
        <v>191</v>
      </c>
      <c r="K35" s="2"/>
      <c r="L35" s="2"/>
      <c r="M35" s="35" t="s">
        <v>924</v>
      </c>
      <c r="N35" s="35" t="s">
        <v>923</v>
      </c>
      <c r="O35" s="35" t="s">
        <v>922</v>
      </c>
      <c r="P35" s="35" t="s">
        <v>190</v>
      </c>
      <c r="Q35" s="35" t="s">
        <v>192</v>
      </c>
      <c r="R35" s="35" t="s">
        <v>193</v>
      </c>
      <c r="S35" s="35" t="s">
        <v>191</v>
      </c>
      <c r="AE35" t="s">
        <v>584</v>
      </c>
      <c r="AF35" s="11" cm="1">
        <f t="array" ref="AF35">+_xll.BDP(AE35,AF$1)</f>
        <v>-4.1334090000000003</v>
      </c>
      <c r="AG35" s="11" t="str" cm="1">
        <f t="array" ref="AG35">+_xll.BDP(AE35,AG$1)</f>
        <v>Materials</v>
      </c>
      <c r="AH35" s="11" t="str" cm="1">
        <f t="array" ref="AH35">+_xll.BDP(AE35,AH$1)</f>
        <v>Forest Products&amp;Paper</v>
      </c>
      <c r="AK35" t="s">
        <v>694</v>
      </c>
      <c r="AL35" s="11" cm="1">
        <f t="array" ref="AL35">+_xll.BDP(AK35,AL$1)</f>
        <v>-31.02216</v>
      </c>
      <c r="AM35" s="11" t="str" cm="1">
        <f t="array" ref="AM35">+_xll.BDP(AK35,AM$1)</f>
        <v>Information Technology</v>
      </c>
      <c r="AN35" s="11" t="str" cm="1">
        <f t="array" ref="AN35">+_xll.BDP(AK35,AN$1)</f>
        <v>Semiconductors</v>
      </c>
      <c r="AQ35" t="s">
        <v>648</v>
      </c>
      <c r="AR35" s="11" cm="1">
        <f t="array" ref="AR35">+_xll.BDP(AQ35,AR$1)</f>
        <v>-15.41653</v>
      </c>
      <c r="AS35" s="11" t="str" cm="1">
        <f t="array" ref="AS35">+_xll.BDP(AQ35,AS$1)</f>
        <v>Financials</v>
      </c>
      <c r="AT35" s="11" t="str" cm="1">
        <f t="array" ref="AT35">+_xll.BDP(AQ35,AT$1)</f>
        <v>Insurance</v>
      </c>
    </row>
    <row r="36" spans="1:46" hidden="1" x14ac:dyDescent="0.25">
      <c r="A36" s="18"/>
      <c r="B36" s="18"/>
      <c r="C36" s="18" t="s">
        <v>231</v>
      </c>
      <c r="D36" s="18" t="s">
        <v>231</v>
      </c>
      <c r="E36" s="18" t="s">
        <v>231</v>
      </c>
      <c r="F36" s="18" t="s">
        <v>244</v>
      </c>
      <c r="G36" s="18" t="s">
        <v>245</v>
      </c>
      <c r="H36" s="18" t="s">
        <v>246</v>
      </c>
      <c r="I36" s="18" t="s">
        <v>247</v>
      </c>
      <c r="K36" s="18"/>
      <c r="L36" s="18"/>
      <c r="M36" s="18" t="s">
        <v>231</v>
      </c>
      <c r="N36" s="18" t="s">
        <v>231</v>
      </c>
      <c r="O36" s="18" t="s">
        <v>231</v>
      </c>
      <c r="P36" s="18" t="s">
        <v>244</v>
      </c>
      <c r="Q36" s="18" t="s">
        <v>245</v>
      </c>
      <c r="R36" s="18" t="s">
        <v>246</v>
      </c>
      <c r="S36" s="18" t="s">
        <v>247</v>
      </c>
      <c r="AE36" t="s">
        <v>534</v>
      </c>
      <c r="AF36" s="11" cm="1">
        <f t="array" ref="AF36">+_xll.BDP(AE36,AF$1)</f>
        <v>9.6047180000000001</v>
      </c>
      <c r="AG36" s="11" t="str" cm="1">
        <f t="array" ref="AG36">+_xll.BDP(AE36,AG$1)</f>
        <v>Communication Services</v>
      </c>
      <c r="AH36" s="11" t="str" cm="1">
        <f t="array" ref="AH36">+_xll.BDP(AE36,AH$1)</f>
        <v>Internet</v>
      </c>
      <c r="AK36" t="s">
        <v>689</v>
      </c>
      <c r="AL36" s="11" cm="1">
        <f t="array" ref="AL36">+_xll.BDP(AK36,AL$1)</f>
        <v>-0.2631579</v>
      </c>
      <c r="AM36" s="11" t="str" cm="1">
        <f t="array" ref="AM36">+_xll.BDP(AK36,AM$1)</f>
        <v>Consumer Staples</v>
      </c>
      <c r="AN36" s="11" t="str" cm="1">
        <f t="array" ref="AN36">+_xll.BDP(AK36,AN$1)</f>
        <v>Beverages</v>
      </c>
      <c r="AQ36" t="s">
        <v>639</v>
      </c>
      <c r="AR36" s="11" cm="1">
        <f t="array" ref="AR36">+_xll.BDP(AQ36,AR$1)</f>
        <v>-24.285710000000002</v>
      </c>
      <c r="AS36" s="11" t="str" cm="1">
        <f t="array" ref="AS36">+_xll.BDP(AQ36,AS$1)</f>
        <v>Financials</v>
      </c>
      <c r="AT36" s="11" t="str" cm="1">
        <f t="array" ref="AT36">+_xll.BDP(AQ36,AT$1)</f>
        <v>Diversified Finan Serv</v>
      </c>
    </row>
    <row r="37" spans="1:46" x14ac:dyDescent="0.25">
      <c r="A37" s="11" t="s">
        <v>272</v>
      </c>
      <c r="B37" s="11" t="s">
        <v>271</v>
      </c>
      <c r="C37" s="7">
        <f>+_xll.BDP($B37,C$36)</f>
        <v>14.20290909670781</v>
      </c>
      <c r="D37" s="7">
        <f>+_xll.BDP($B37,C$36,"Best_Fperiod_override=2gy")</f>
        <v>12.535115359358342</v>
      </c>
      <c r="E37" s="7">
        <f>+_xll.BDP($B37,E$36,"Best_Fperiod_override=3gy")</f>
        <v>11.388679634071931</v>
      </c>
      <c r="F37" s="7">
        <f>+_xll.BDP($B37,F$36)</f>
        <v>-5.582084</v>
      </c>
      <c r="G37" s="7">
        <f>+_xll.BDP($B37,G$36)</f>
        <v>-8.1859640000000002</v>
      </c>
      <c r="H37" s="7">
        <f>+_xll.BDP($B37,H$36)</f>
        <v>7.3774610000000003</v>
      </c>
      <c r="I37" s="7">
        <f>+_xll.BDP($B37,I$36)</f>
        <v>61.151330000000002</v>
      </c>
      <c r="K37" s="11" t="s">
        <v>292</v>
      </c>
      <c r="L37" s="11" t="s">
        <v>291</v>
      </c>
      <c r="M37" s="7">
        <f>+_xll.BDP($L37,$M$36)</f>
        <v>8.0716107089735818</v>
      </c>
      <c r="N37" s="7">
        <f>+_xll.BDP($L37,$M$36,"Best_Fperiod_override=2gy")</f>
        <v>7.1295690974531611</v>
      </c>
      <c r="O37" s="80">
        <f>+_xll.BDP($L37,$M$36,"Best_Fperiod_override=3gy")</f>
        <v>6.2646983658233308</v>
      </c>
      <c r="P37" s="7">
        <f>+_xll.BDP($L37,P$36)</f>
        <v>-3.231671</v>
      </c>
      <c r="Q37" s="7">
        <f>+_xll.BDP($L37,Q$36)</f>
        <v>-11.990270000000001</v>
      </c>
      <c r="R37" s="7">
        <f>+_xll.BDP($L37,R$36)</f>
        <v>5.8279740000000002</v>
      </c>
      <c r="S37" s="7">
        <f>+_xll.BDP($L37,S$36)</f>
        <v>-27.754249999999999</v>
      </c>
      <c r="AE37" t="s">
        <v>542</v>
      </c>
      <c r="AF37" s="11" cm="1">
        <f t="array" ref="AF37">+_xll.BDP(AE37,AF$1)</f>
        <v>-28.246749999999999</v>
      </c>
      <c r="AG37" s="11" t="str" cm="1">
        <f t="array" ref="AG37">+_xll.BDP(AE37,AG$1)</f>
        <v>Consumer Discretionary</v>
      </c>
      <c r="AH37" s="11" t="str" cm="1">
        <f t="array" ref="AH37">+_xll.BDP(AE37,AH$1)</f>
        <v>Home Builders</v>
      </c>
      <c r="AK37" t="s">
        <v>749</v>
      </c>
      <c r="AL37" s="11" cm="1">
        <f t="array" ref="AL37">+_xll.BDP(AK37,AL$1)</f>
        <v>-19.51219</v>
      </c>
      <c r="AM37" s="11" t="str" cm="1">
        <f t="array" ref="AM37">+_xll.BDP(AK37,AM$1)</f>
        <v>Information Technology</v>
      </c>
      <c r="AN37" s="11" t="str" cm="1">
        <f t="array" ref="AN37">+_xll.BDP(AK37,AN$1)</f>
        <v>Electronics</v>
      </c>
      <c r="AQ37" t="s">
        <v>624</v>
      </c>
      <c r="AR37" s="11" cm="1">
        <f t="array" ref="AR37">+_xll.BDP(AQ37,AR$1)</f>
        <v>-31.736730000000001</v>
      </c>
      <c r="AS37" s="11" t="str" cm="1">
        <f t="array" ref="AS37">+_xll.BDP(AQ37,AS$1)</f>
        <v>Real Estate</v>
      </c>
      <c r="AT37" s="11" t="str" cm="1">
        <f t="array" ref="AT37">+_xll.BDP(AQ37,AT$1)</f>
        <v>Real Estate</v>
      </c>
    </row>
    <row r="38" spans="1:46" x14ac:dyDescent="0.25">
      <c r="A38" s="11" t="s">
        <v>286</v>
      </c>
      <c r="B38" s="11" t="s">
        <v>288</v>
      </c>
      <c r="C38" s="7">
        <f>+_xll.BDP($B38,C$36)</f>
        <v>15.747257267045972</v>
      </c>
      <c r="D38" s="7">
        <f>+_xll.BDP($B38,C$36,"Best_Fperiod_override=2gy")</f>
        <v>16.210939028607491</v>
      </c>
      <c r="E38" s="7">
        <f>+_xll.BDP($B38,E$36,"Best_Fperiod_override=3gy")</f>
        <v>15.708190827905216</v>
      </c>
      <c r="F38" s="7">
        <f>+_xll.BDP($B38,F$36)</f>
        <v>2.331388</v>
      </c>
      <c r="G38" s="7">
        <f>+_xll.BDP($B38,G$36)</f>
        <v>4.9823089999999999</v>
      </c>
      <c r="H38" s="7">
        <f>+_xll.BDP($B38,H$36)</f>
        <v>9.1733239999999991</v>
      </c>
      <c r="I38" s="7">
        <f>+_xll.BDP($B38,I$36)</f>
        <v>70.831559999999996</v>
      </c>
      <c r="K38" s="11" t="s">
        <v>293</v>
      </c>
      <c r="L38" s="11" t="s">
        <v>294</v>
      </c>
      <c r="M38" s="7">
        <f>+_xll.BDP($L38,$M$36)</f>
        <v>5.8722547913264176</v>
      </c>
      <c r="N38" s="7">
        <f>+_xll.BDP($L38,$M$36,"Best_Fperiod_override=2gy")</f>
        <v>5.4660929328530088</v>
      </c>
      <c r="O38" s="80">
        <f>+_xll.BDP($L38,$M$36,"Best_Fperiod_override=3gy")</f>
        <v>5.1658750530940072</v>
      </c>
      <c r="P38" s="7">
        <f>+_xll.BDP($L38,P$36)</f>
        <v>-1.7188639999999999</v>
      </c>
      <c r="Q38" s="7">
        <f>+_xll.BDP($L38,Q$36)</f>
        <v>-13.578939999999999</v>
      </c>
      <c r="R38" s="7">
        <f>+_xll.BDP($L38,R$36)</f>
        <v>-11.65812</v>
      </c>
      <c r="S38" s="7">
        <f>+_xll.BDP($L38,S$36)</f>
        <v>1.107059</v>
      </c>
      <c r="AE38" t="s">
        <v>514</v>
      </c>
      <c r="AF38" s="11" cm="1">
        <f t="array" ref="AF38">+_xll.BDP(AE38,AF$1)</f>
        <v>-2.3575110000000001</v>
      </c>
      <c r="AG38" s="11" t="str" cm="1">
        <f t="array" ref="AG38">+_xll.BDP(AE38,AG$1)</f>
        <v>Materials</v>
      </c>
      <c r="AH38" s="11" t="str" cm="1">
        <f t="array" ref="AH38">+_xll.BDP(AE38,AH$1)</f>
        <v>Mining</v>
      </c>
      <c r="AK38" t="s">
        <v>804</v>
      </c>
      <c r="AL38" s="11" cm="1">
        <f t="array" ref="AL38">+_xll.BDP(AK38,AL$1)</f>
        <v>-29.16667</v>
      </c>
      <c r="AM38" s="11" t="str" cm="1">
        <f t="array" ref="AM38">+_xll.BDP(AK38,AM$1)</f>
        <v>Industrials</v>
      </c>
      <c r="AN38" s="11" t="str" cm="1">
        <f t="array" ref="AN38">+_xll.BDP(AK38,AN$1)</f>
        <v>Building Materials</v>
      </c>
      <c r="AQ38" t="s">
        <v>653</v>
      </c>
      <c r="AR38" s="11" cm="1">
        <f t="array" ref="AR38">+_xll.BDP(AQ38,AR$1)</f>
        <v>-45.914400000000001</v>
      </c>
      <c r="AS38" s="11" t="str" cm="1">
        <f t="array" ref="AS38">+_xll.BDP(AQ38,AS$1)</f>
        <v>Consumer Discretionary</v>
      </c>
      <c r="AT38" s="11" t="str" cm="1">
        <f t="array" ref="AT38">+_xll.BDP(AQ38,AT$1)</f>
        <v>Home Furnishings</v>
      </c>
    </row>
    <row r="39" spans="1:46" x14ac:dyDescent="0.25">
      <c r="A39" s="11" t="s">
        <v>281</v>
      </c>
      <c r="B39" s="11" t="s">
        <v>282</v>
      </c>
      <c r="C39" s="7">
        <f>+_xll.BDP($B39,C$36)</f>
        <v>27.083157652421239</v>
      </c>
      <c r="D39" s="7">
        <f>+_xll.BDP($B39,C$36,"Best_Fperiod_override=2gy")</f>
        <v>21.908627046580413</v>
      </c>
      <c r="E39" s="7">
        <f>+_xll.BDP($B39,E$36,"Best_Fperiod_override=3gy")</f>
        <v>18.949735087271243</v>
      </c>
      <c r="F39" s="7">
        <f>+_xll.BDP($B39,F$36)</f>
        <v>-3.1994980000000002</v>
      </c>
      <c r="G39" s="7">
        <f>+_xll.BDP($B39,G$36)</f>
        <v>-7.2313400000000003</v>
      </c>
      <c r="H39" s="7">
        <f>+_xll.BDP($B39,H$36)</f>
        <v>0.47819289999999998</v>
      </c>
      <c r="I39" s="7">
        <f>+_xll.BDP($B39,I$36)</f>
        <v>101.4336</v>
      </c>
      <c r="K39" s="11" t="s">
        <v>295</v>
      </c>
      <c r="L39" s="11" t="s">
        <v>296</v>
      </c>
      <c r="M39" s="7">
        <f>+_xll.BDP($L39,$M$36)</f>
        <v>6.0548400012466947</v>
      </c>
      <c r="N39" s="7">
        <f>+_xll.BDP($L39,$M$36,"Best_Fperiod_override=2gy")</f>
        <v>6.7565906563409719</v>
      </c>
      <c r="O39" s="7">
        <f>+_xll.BDP($L39,$M$36,"Best_Fperiod_override=3gy")</f>
        <v>7.4890850307678933</v>
      </c>
      <c r="P39" s="7">
        <f>+_xll.BDP($L39,P$36)</f>
        <v>2.9426700000000001</v>
      </c>
      <c r="Q39" s="7">
        <f>+_xll.BDP($L39,Q$36)</f>
        <v>3.5747110000000002</v>
      </c>
      <c r="R39" s="7">
        <f>+_xll.BDP($L39,R$36)</f>
        <v>15.04508</v>
      </c>
      <c r="S39" s="7">
        <f>+_xll.BDP($L39,S$36)</f>
        <v>-2.5513520000000001</v>
      </c>
      <c r="AE39" t="s">
        <v>549</v>
      </c>
      <c r="AF39" s="11" cm="1">
        <f t="array" ref="AF39">+_xll.BDP(AE39,AF$1)</f>
        <v>9.9959530000000001</v>
      </c>
      <c r="AG39" s="11" t="str" cm="1">
        <f t="array" ref="AG39">+_xll.BDP(AE39,AG$1)</f>
        <v>Financials</v>
      </c>
      <c r="AH39" s="11" t="str" cm="1">
        <f t="array" ref="AH39">+_xll.BDP(AE39,AH$1)</f>
        <v>Private Equity</v>
      </c>
      <c r="AK39" t="s">
        <v>796</v>
      </c>
      <c r="AL39" s="11" cm="1">
        <f t="array" ref="AL39">+_xll.BDP(AK39,AL$1)</f>
        <v>-0.31413609999999997</v>
      </c>
      <c r="AM39" s="11" t="str" cm="1">
        <f t="array" ref="AM39">+_xll.BDP(AK39,AM$1)</f>
        <v>Industrials</v>
      </c>
      <c r="AN39" s="11" t="str" cm="1">
        <f t="array" ref="AN39">+_xll.BDP(AK39,AN$1)</f>
        <v>Distribution/Wholesale</v>
      </c>
      <c r="AQ39" t="s">
        <v>638</v>
      </c>
      <c r="AR39" s="11" cm="1">
        <f t="array" ref="AR39">+_xll.BDP(AQ39,AR$1)</f>
        <v>-37.528579999999998</v>
      </c>
      <c r="AS39" s="11" t="str" cm="1">
        <f t="array" ref="AS39">+_xll.BDP(AQ39,AS$1)</f>
        <v>Financials</v>
      </c>
      <c r="AT39" s="11" t="str" cm="1">
        <f t="array" ref="AT39">+_xll.BDP(AQ39,AT$1)</f>
        <v>Insurance</v>
      </c>
    </row>
    <row r="40" spans="1:46" x14ac:dyDescent="0.25">
      <c r="A40" s="2" t="s">
        <v>290</v>
      </c>
      <c r="B40" s="2" t="s">
        <v>289</v>
      </c>
      <c r="C40" s="35">
        <f>+_xll.BDP($B40,C$36)</f>
        <v>47.071087775728074</v>
      </c>
      <c r="D40" s="35">
        <f>+_xll.BDP($B40,C$36,"Best_Fperiod_override=2gy")</f>
        <v>43.029546265436146</v>
      </c>
      <c r="E40" s="35">
        <f>+_xll.BDP($B40,E$36,"Best_Fperiod_override=3gy")</f>
        <v>40.159127810700859</v>
      </c>
      <c r="F40" s="35">
        <f>+_xll.BDP($B40,F$36)</f>
        <v>7.3074089999999998</v>
      </c>
      <c r="G40" s="35">
        <f>+_xll.BDP($B40,G$36)</f>
        <v>5.5390009999999998</v>
      </c>
      <c r="H40" s="35">
        <f>+_xll.BDP($B40,H$36)</f>
        <v>19.778649999999999</v>
      </c>
      <c r="I40" s="35">
        <f>+_xll.BDP($B40,I$36)</f>
        <v>57.6629</v>
      </c>
      <c r="K40" s="11" t="s">
        <v>322</v>
      </c>
      <c r="L40" s="11" t="s">
        <v>297</v>
      </c>
      <c r="M40" s="7">
        <f>+_xll.BDP($L40,$M$36)</f>
        <v>16.254478380734952</v>
      </c>
      <c r="N40" s="7">
        <f>+_xll.BDP($L40,$M$36,"Best_Fperiod_override=2gy")</f>
        <v>14.44117568932573</v>
      </c>
      <c r="O40" s="7">
        <f>+_xll.BDP($L40,$M$36,"Best_Fperiod_override=3gy")</f>
        <v>12.879161638996569</v>
      </c>
      <c r="P40" s="7">
        <f>+_xll.BDP($L40,P$36)</f>
        <v>5.289949</v>
      </c>
      <c r="Q40" s="7">
        <f>+_xll.BDP($L40,Q$36)</f>
        <v>4.8446350000000002</v>
      </c>
      <c r="R40" s="7">
        <f>+_xll.BDP($L40,R$36)</f>
        <v>12.051259999999999</v>
      </c>
      <c r="S40" s="7">
        <f>+_xll.BDP($L40,S$36)</f>
        <v>-12.67576</v>
      </c>
      <c r="AE40" t="s">
        <v>521</v>
      </c>
      <c r="AF40" s="11" cm="1">
        <f t="array" ref="AF40">+_xll.BDP(AE40,AF$1)</f>
        <v>10.931990000000001</v>
      </c>
      <c r="AG40" s="11" t="str" cm="1">
        <f t="array" ref="AG40">+_xll.BDP(AE40,AG$1)</f>
        <v>Financials</v>
      </c>
      <c r="AH40" s="11" t="str" cm="1">
        <f t="array" ref="AH40">+_xll.BDP(AE40,AH$1)</f>
        <v>Insurance</v>
      </c>
      <c r="AK40" t="s">
        <v>725</v>
      </c>
      <c r="AL40" s="11" cm="1">
        <f t="array" ref="AL40">+_xll.BDP(AK40,AL$1)</f>
        <v>-3.8256749999999999</v>
      </c>
      <c r="AM40" s="11" t="str" cm="1">
        <f t="array" ref="AM40">+_xll.BDP(AK40,AM$1)</f>
        <v>Industrials</v>
      </c>
      <c r="AN40" s="11" t="str" cm="1">
        <f t="array" ref="AN40">+_xll.BDP(AK40,AN$1)</f>
        <v>Commercial Services</v>
      </c>
      <c r="AQ40" t="s">
        <v>607</v>
      </c>
      <c r="AR40" s="11" cm="1">
        <f t="array" ref="AR40">+_xll.BDP(AQ40,AR$1)</f>
        <v>-31.452750000000002</v>
      </c>
      <c r="AS40" s="11" t="str" cm="1">
        <f t="array" ref="AS40">+_xll.BDP(AQ40,AS$1)</f>
        <v>Information Technology</v>
      </c>
      <c r="AT40" s="11" t="str" cm="1">
        <f t="array" ref="AT40">+_xll.BDP(AQ40,AT$1)</f>
        <v>Electronics</v>
      </c>
    </row>
    <row r="41" spans="1:46" x14ac:dyDescent="0.25">
      <c r="A41" s="11" t="s">
        <v>277</v>
      </c>
      <c r="B41" s="11" t="s">
        <v>278</v>
      </c>
      <c r="C41" s="7">
        <f>+_xll.BDP($B41,C$36)</f>
        <v>10.07949616459357</v>
      </c>
      <c r="D41" s="7">
        <f>+_xll.BDP($B41,C$36,"Best_Fperiod_override=2gy")</f>
        <v>11.178707480356199</v>
      </c>
      <c r="E41" s="7">
        <f>+_xll.BDP($B41,E$36,"Best_Fperiod_override=3gy")</f>
        <v>11.840073762055894</v>
      </c>
      <c r="F41" s="7">
        <f>+_xll.BDP($B41,F$36)</f>
        <v>2.9780500000000001</v>
      </c>
      <c r="G41" s="7">
        <f>+_xll.BDP($B41,G$36)</f>
        <v>35.214320000000001</v>
      </c>
      <c r="H41" s="7">
        <f>+_xll.BDP($B41,H$36)</f>
        <v>67.224140000000006</v>
      </c>
      <c r="I41" s="7">
        <f>+_xll.BDP($B41,I$36)</f>
        <v>19.220120000000001</v>
      </c>
      <c r="K41" s="11" t="s">
        <v>298</v>
      </c>
      <c r="L41" s="11" t="s">
        <v>299</v>
      </c>
      <c r="M41" s="7">
        <f>+_xll.BDP($L41,$M$36)</f>
        <v>6.0259410223201062</v>
      </c>
      <c r="N41" s="7">
        <f>+_xll.BDP($L41,$M$36,"Best_Fperiod_override=2gy")</f>
        <v>8.9295721104689871</v>
      </c>
      <c r="O41" s="7">
        <f>+_xll.BDP($L41,$M$36,"Best_Fperiod_override=3gy")</f>
        <v>8.9865540345906805</v>
      </c>
      <c r="P41" s="7">
        <f>+_xll.BDP($L41,P$36)</f>
        <v>2.317005</v>
      </c>
      <c r="Q41" s="7">
        <f>+_xll.BDP($L41,Q$36)</f>
        <v>10.4123</v>
      </c>
      <c r="R41" s="7">
        <f>+_xll.BDP($L41,R$36)</f>
        <v>9.2152670000000008</v>
      </c>
      <c r="S41" s="7">
        <f>+_xll.BDP($L41,S$36)</f>
        <v>13.22885</v>
      </c>
      <c r="AE41" t="s">
        <v>567</v>
      </c>
      <c r="AF41" s="11" cm="1">
        <f t="array" ref="AF41">+_xll.BDP(AE41,AF$1)</f>
        <v>12.70073</v>
      </c>
      <c r="AG41" s="11" t="str" cm="1">
        <f t="array" ref="AG41">+_xll.BDP(AE41,AG$1)</f>
        <v>Materials</v>
      </c>
      <c r="AH41" s="11" t="str" cm="1">
        <f t="array" ref="AH41">+_xll.BDP(AE41,AH$1)</f>
        <v>Chemicals</v>
      </c>
      <c r="AK41" t="s">
        <v>736</v>
      </c>
      <c r="AL41" s="11" cm="1">
        <f t="array" ref="AL41">+_xll.BDP(AK41,AL$1)</f>
        <v>-10.722009999999999</v>
      </c>
      <c r="AM41" s="11" t="str" cm="1">
        <f t="array" ref="AM41">+_xll.BDP(AK41,AM$1)</f>
        <v>Industrials</v>
      </c>
      <c r="AN41" s="11" t="str" cm="1">
        <f t="array" ref="AN41">+_xll.BDP(AK41,AN$1)</f>
        <v>Machinery-Diversified</v>
      </c>
      <c r="AQ41" t="s">
        <v>642</v>
      </c>
      <c r="AR41" s="11" cm="1">
        <f t="array" ref="AR41">+_xll.BDP(AQ41,AR$1)</f>
        <v>-10.19557</v>
      </c>
      <c r="AS41" s="11" t="str" cm="1">
        <f t="array" ref="AS41">+_xll.BDP(AQ41,AS$1)</f>
        <v>Financials</v>
      </c>
      <c r="AT41" s="11" t="str" cm="1">
        <f t="array" ref="AT41">+_xll.BDP(AQ41,AT$1)</f>
        <v>Diversified Finan Serv</v>
      </c>
    </row>
    <row r="42" spans="1:46" x14ac:dyDescent="0.25">
      <c r="A42" s="11" t="s">
        <v>284</v>
      </c>
      <c r="B42" s="11" t="s">
        <v>285</v>
      </c>
      <c r="C42" s="7">
        <f>+_xll.BDP($B42,C$36)</f>
        <v>20.521737758804829</v>
      </c>
      <c r="D42" s="7">
        <f>+_xll.BDP($B42,C$36,"Best_Fperiod_override=2gy")</f>
        <v>16.998688759079787</v>
      </c>
      <c r="E42" s="7">
        <f>+_xll.BDP($B42,E$36,"Best_Fperiod_override=3gy")</f>
        <v>15.251434586613858</v>
      </c>
      <c r="F42" s="7">
        <f>+_xll.BDP($B42,F$36)</f>
        <v>-2.2983449999999999</v>
      </c>
      <c r="G42" s="7">
        <f>+_xll.BDP($B42,G$36)</f>
        <v>-3.6451579999999999</v>
      </c>
      <c r="H42" s="7">
        <f>+_xll.BDP($B42,H$36)</f>
        <v>0.45586529999999997</v>
      </c>
      <c r="I42" s="7">
        <f>+_xll.BDP($B42,I$36)</f>
        <v>51.840130000000002</v>
      </c>
      <c r="K42" s="11" t="s">
        <v>300</v>
      </c>
      <c r="L42" s="11" t="s">
        <v>301</v>
      </c>
      <c r="M42" s="7">
        <f>+_xll.BDP($L42,$M$36)</f>
        <v>24.990629032673205</v>
      </c>
      <c r="N42" s="7">
        <f>+_xll.BDP($L42,$M$36,"Best_Fperiod_override=2gy")</f>
        <v>22.23713430538243</v>
      </c>
      <c r="O42" s="7">
        <f>+_xll.BDP($L42,$M$36,"Best_Fperiod_override=3gy")</f>
        <v>20.163055670908967</v>
      </c>
      <c r="P42" s="7">
        <f>+_xll.BDP($L42,P$36)</f>
        <v>-2.3452790000000001</v>
      </c>
      <c r="Q42" s="7">
        <f>+_xll.BDP($L42,Q$36)</f>
        <v>-11.00081</v>
      </c>
      <c r="R42" s="7">
        <f>+_xll.BDP($L42,R$36)</f>
        <v>-4.6202110000000003</v>
      </c>
      <c r="S42" s="7">
        <f>+_xll.BDP($L42,S$36)</f>
        <v>63.77308</v>
      </c>
      <c r="AE42" t="s">
        <v>555</v>
      </c>
      <c r="AF42" s="11" cm="1">
        <f t="array" ref="AF42">+_xll.BDP(AE42,AF$1)</f>
        <v>-21.011859999999999</v>
      </c>
      <c r="AG42" s="11" t="str" cm="1">
        <f t="array" ref="AG42">+_xll.BDP(AE42,AG$1)</f>
        <v>Materials</v>
      </c>
      <c r="AH42" s="11" t="str" cm="1">
        <f t="array" ref="AH42">+_xll.BDP(AE42,AH$1)</f>
        <v>Packaging&amp;Containers</v>
      </c>
      <c r="AK42" t="s">
        <v>748</v>
      </c>
      <c r="AL42" s="11" cm="1">
        <f t="array" ref="AL42">+_xll.BDP(AK42,AL$1)</f>
        <v>-6.6278220000000001</v>
      </c>
      <c r="AM42" s="11" t="str" cm="1">
        <f t="array" ref="AM42">+_xll.BDP(AK42,AM$1)</f>
        <v>Industrials</v>
      </c>
      <c r="AN42" s="11" t="str" cm="1">
        <f t="array" ref="AN42">+_xll.BDP(AK42,AN$1)</f>
        <v>Electronics</v>
      </c>
      <c r="AQ42" t="s">
        <v>608</v>
      </c>
      <c r="AR42" s="11" cm="1">
        <f t="array" ref="AR42">+_xll.BDP(AQ42,AR$1)</f>
        <v>-22.435289999999998</v>
      </c>
      <c r="AS42" s="11" t="str" cm="1">
        <f t="array" ref="AS42">+_xll.BDP(AQ42,AS$1)</f>
        <v>Financials</v>
      </c>
      <c r="AT42" s="11" t="str" cm="1">
        <f t="array" ref="AT42">+_xll.BDP(AQ42,AT$1)</f>
        <v>Banks</v>
      </c>
    </row>
    <row r="43" spans="1:46" x14ac:dyDescent="0.25">
      <c r="A43" s="11" t="s">
        <v>18</v>
      </c>
      <c r="B43" s="11" t="s">
        <v>279</v>
      </c>
      <c r="C43" s="7">
        <f>+_xll.BDP($B43,C$36)</f>
        <v>23.718054400403805</v>
      </c>
      <c r="D43" s="7">
        <f>+_xll.BDP($B43,C$36,"Best_Fperiod_override=2gy")</f>
        <v>21.199464098883514</v>
      </c>
      <c r="E43" s="7">
        <f>+_xll.BDP($B43,E$36,"Best_Fperiod_override=3gy")</f>
        <v>19.383438656613542</v>
      </c>
      <c r="F43" s="7">
        <f>+_xll.BDP($B43,F$36)</f>
        <v>-6.3401719999999999</v>
      </c>
      <c r="G43" s="7">
        <f>+_xll.BDP($B43,G$36)</f>
        <v>-7.198315</v>
      </c>
      <c r="H43" s="7">
        <f>+_xll.BDP($B43,H$36)</f>
        <v>4.519164</v>
      </c>
      <c r="I43" s="7">
        <f>+_xll.BDP($B43,I$36)</f>
        <v>185.3931</v>
      </c>
      <c r="K43" s="11" t="s">
        <v>303</v>
      </c>
      <c r="L43" s="11" t="s">
        <v>302</v>
      </c>
      <c r="M43" s="7">
        <f>+_xll.BDP($L43,$M$36)</f>
        <v>19.841412928509353</v>
      </c>
      <c r="N43" s="7">
        <f>+_xll.BDP($L43,$M$36,"Best_Fperiod_override=2gy")</f>
        <v>17.397528873325516</v>
      </c>
      <c r="O43" s="7">
        <f>+_xll.BDP($L43,$M$36,"Best_Fperiod_override=3gy")</f>
        <v>15.593110620406605</v>
      </c>
      <c r="P43" s="7">
        <f>+_xll.BDP($L43,P$36)</f>
        <v>-7.572603</v>
      </c>
      <c r="Q43" s="7">
        <f>+_xll.BDP($L43,Q$36)</f>
        <v>-33.13908</v>
      </c>
      <c r="R43" s="7">
        <f>+_xll.BDP($L43,R$36)</f>
        <v>-34.445419999999999</v>
      </c>
      <c r="S43" s="7">
        <f>+_xll.BDP($L43,S$36)</f>
        <v>-2.872128</v>
      </c>
      <c r="AE43" t="s">
        <v>581</v>
      </c>
      <c r="AF43" s="11" cm="1">
        <f t="array" ref="AF43">+_xll.BDP(AE43,AF$1)</f>
        <v>28.053750000000001</v>
      </c>
      <c r="AG43" s="11" t="str" cm="1">
        <f t="array" ref="AG43">+_xll.BDP(AE43,AG$1)</f>
        <v>Industrials</v>
      </c>
      <c r="AH43" s="11" t="str" cm="1">
        <f t="array" ref="AH43">+_xll.BDP(AE43,AH$1)</f>
        <v>Distribution/Wholesale</v>
      </c>
      <c r="AK43" t="s">
        <v>737</v>
      </c>
      <c r="AL43" s="11" cm="1">
        <f t="array" ref="AL43">+_xll.BDP(AK43,AL$1)</f>
        <v>-20.480789999999999</v>
      </c>
      <c r="AM43" s="11" t="str" cm="1">
        <f t="array" ref="AM43">+_xll.BDP(AK43,AM$1)</f>
        <v>Industrials</v>
      </c>
      <c r="AN43" s="11" t="str" cm="1">
        <f t="array" ref="AN43">+_xll.BDP(AK43,AN$1)</f>
        <v>Machinery-Diversified</v>
      </c>
      <c r="AQ43" t="s">
        <v>636</v>
      </c>
      <c r="AR43" s="11" cm="1">
        <f t="array" ref="AR43">+_xll.BDP(AQ43,AR$1)</f>
        <v>-9.193244</v>
      </c>
      <c r="AS43" s="11" t="str" cm="1">
        <f t="array" ref="AS43">+_xll.BDP(AQ43,AS$1)</f>
        <v>Financials</v>
      </c>
      <c r="AT43" s="11" t="str" cm="1">
        <f t="array" ref="AT43">+_xll.BDP(AQ43,AT$1)</f>
        <v>Banks</v>
      </c>
    </row>
    <row r="44" spans="1:46" x14ac:dyDescent="0.25">
      <c r="A44" s="2" t="s">
        <v>322</v>
      </c>
      <c r="B44" s="2" t="s">
        <v>287</v>
      </c>
      <c r="C44" s="35">
        <f>+_xll.BDP($B44,C$36)</f>
        <v>16.313627502245492</v>
      </c>
      <c r="D44" s="35">
        <f>+_xll.BDP($B44,C$36,"Best_Fperiod_override=2gy")</f>
        <v>14.226136675116267</v>
      </c>
      <c r="E44" s="35">
        <f>+_xll.BDP($B44,E$36,"Best_Fperiod_override=3gy")</f>
        <v>12.700390867733745</v>
      </c>
      <c r="F44" s="35">
        <f>+_xll.BDP($B44,F$36)</f>
        <v>-9.2930759999999992</v>
      </c>
      <c r="G44" s="35">
        <f>+_xll.BDP($B44,G$36)</f>
        <v>-20.805540000000001</v>
      </c>
      <c r="H44" s="35">
        <f>+_xll.BDP($B44,H$36)</f>
        <v>-13.76248</v>
      </c>
      <c r="I44" s="35">
        <f>+_xll.BDP($B44,I$36)</f>
        <v>31.213730000000002</v>
      </c>
      <c r="K44" s="11" t="s">
        <v>304</v>
      </c>
      <c r="L44" s="11" t="s">
        <v>305</v>
      </c>
      <c r="M44" s="7">
        <f>+_xll.BDP($L44,$M$36)</f>
        <v>24.430292828653005</v>
      </c>
      <c r="N44" s="7">
        <f>+_xll.BDP($L44,$M$36,"Best_Fperiod_override=2gy")</f>
        <v>14.797558370764371</v>
      </c>
      <c r="O44" s="7">
        <f>+_xll.BDP($L44,$M$36,"Best_Fperiod_override=3gy")</f>
        <v>11.28042108019736</v>
      </c>
      <c r="P44" s="7">
        <f>+_xll.BDP($L44,P$36)</f>
        <v>-3.4747499999999998</v>
      </c>
      <c r="Q44" s="7">
        <f>+_xll.BDP($L44,Q$36)</f>
        <v>-22.49258</v>
      </c>
      <c r="R44" s="7">
        <f>+_xll.BDP($L44,R$36)</f>
        <v>-25.267019999999999</v>
      </c>
      <c r="S44" s="7">
        <f>+_xll.BDP($L44,S$36)</f>
        <v>-24.644020000000001</v>
      </c>
      <c r="AE44" t="s">
        <v>506</v>
      </c>
      <c r="AF44" s="11" cm="1">
        <f t="array" ref="AF44">+_xll.BDP(AE44,AF$1)</f>
        <v>-4.0838809999999999</v>
      </c>
      <c r="AG44" s="11" t="str" cm="1">
        <f t="array" ref="AG44">+_xll.BDP(AE44,AG$1)</f>
        <v>Financials</v>
      </c>
      <c r="AH44" s="11" t="str" cm="1">
        <f t="array" ref="AH44">+_xll.BDP(AE44,AH$1)</f>
        <v>Insurance</v>
      </c>
      <c r="AK44" t="s">
        <v>706</v>
      </c>
      <c r="AL44" s="11" cm="1">
        <f t="array" ref="AL44">+_xll.BDP(AK44,AL$1)</f>
        <v>-13.320830000000001</v>
      </c>
      <c r="AM44" s="11" t="str" cm="1">
        <f t="array" ref="AM44">+_xll.BDP(AK44,AM$1)</f>
        <v>Communication Services</v>
      </c>
      <c r="AN44" s="11" t="str" cm="1">
        <f t="array" ref="AN44">+_xll.BDP(AK44,AN$1)</f>
        <v>Software</v>
      </c>
      <c r="AQ44" t="s">
        <v>649</v>
      </c>
      <c r="AR44" s="11" cm="1">
        <f t="array" ref="AR44">+_xll.BDP(AQ44,AR$1)</f>
        <v>-4.5028129999999997</v>
      </c>
      <c r="AS44" s="11" t="str" cm="1">
        <f t="array" ref="AS44">+_xll.BDP(AQ44,AS$1)</f>
        <v>Financials</v>
      </c>
      <c r="AT44" s="11" t="str" cm="1">
        <f t="array" ref="AT44">+_xll.BDP(AQ44,AT$1)</f>
        <v>Banks</v>
      </c>
    </row>
    <row r="45" spans="1:46" x14ac:dyDescent="0.25">
      <c r="A45" s="11" t="s">
        <v>280</v>
      </c>
      <c r="B45" s="11" t="s">
        <v>283</v>
      </c>
      <c r="C45" s="7">
        <f>+_xll.BDP($B45,C$36)</f>
        <v>23.377001438612496</v>
      </c>
      <c r="D45" s="7">
        <f>+_xll.BDP($B45,C$36,"Best_Fperiod_override=2gy")</f>
        <v>21.710125506000665</v>
      </c>
      <c r="E45" s="7">
        <f>+_xll.BDP($B45,E$36,"Best_Fperiod_override=3gy")</f>
        <v>20.121542634058493</v>
      </c>
      <c r="F45" s="7">
        <f>+_xll.BDP($B45,F$36)</f>
        <v>7.9684549999999996</v>
      </c>
      <c r="G45" s="7">
        <f>+_xll.BDP($B45,G$36)</f>
        <v>13.54959</v>
      </c>
      <c r="H45" s="7">
        <f>+_xll.BDP($B45,H$36)</f>
        <v>17.594670000000001</v>
      </c>
      <c r="I45" s="7">
        <f>+_xll.BDP($B45,I$36)</f>
        <v>48.948250000000002</v>
      </c>
      <c r="K45" s="11" t="s">
        <v>308</v>
      </c>
      <c r="L45" s="11" t="s">
        <v>306</v>
      </c>
      <c r="M45" s="7">
        <f>+_xll.BDP($L45,$M$36)</f>
        <v>17.433119281212615</v>
      </c>
      <c r="N45" s="7">
        <f>+_xll.BDP($L45,$M$36,"Best_Fperiod_override=2gy")</f>
        <v>16.471563471431086</v>
      </c>
      <c r="O45" s="7">
        <f>+_xll.BDP($L45,$M$36,"Best_Fperiod_override=3gy")</f>
        <v>15.297382984618615</v>
      </c>
      <c r="P45" s="7">
        <f>+_xll.BDP($L45,P$36)</f>
        <v>2.7107070000000002</v>
      </c>
      <c r="Q45" s="7">
        <f>+_xll.BDP($L45,Q$36)</f>
        <v>-0.1008655</v>
      </c>
      <c r="R45" s="7">
        <f>+_xll.BDP($L45,R$36)</f>
        <v>3.6095920000000001</v>
      </c>
      <c r="S45" s="7">
        <f>+_xll.BDP($L45,S$36)</f>
        <v>38.167729999999999</v>
      </c>
      <c r="AE45" t="s">
        <v>577</v>
      </c>
      <c r="AF45" s="11" cm="1">
        <f t="array" ref="AF45">+_xll.BDP(AE45,AF$1)</f>
        <v>-35.047629999999998</v>
      </c>
      <c r="AG45" s="11" t="str" cm="1">
        <f t="array" ref="AG45">+_xll.BDP(AE45,AG$1)</f>
        <v>Consumer Staples</v>
      </c>
      <c r="AH45" s="11" t="str" cm="1">
        <f t="array" ref="AH45">+_xll.BDP(AE45,AH$1)</f>
        <v>Beverages</v>
      </c>
      <c r="AK45" t="s">
        <v>823</v>
      </c>
      <c r="AL45" s="11" cm="1">
        <f t="array" ref="AL45">+_xll.BDP(AK45,AL$1)</f>
        <v>-3.7542659999999999</v>
      </c>
      <c r="AM45" s="11" t="str" cm="1">
        <f t="array" ref="AM45">+_xll.BDP(AK45,AM$1)</f>
        <v>Consumer Discretionary</v>
      </c>
      <c r="AN45" s="11" t="str" cm="1">
        <f t="array" ref="AN45">+_xll.BDP(AK45,AN$1)</f>
        <v>Home Furnishings</v>
      </c>
      <c r="AQ45" t="s">
        <v>643</v>
      </c>
      <c r="AR45" s="11" cm="1">
        <f t="array" ref="AR45">+_xll.BDP(AQ45,AR$1)</f>
        <v>-6.3636350000000004</v>
      </c>
      <c r="AS45" s="11" t="str" cm="1">
        <f t="array" ref="AS45">+_xll.BDP(AQ45,AS$1)</f>
        <v>Financials</v>
      </c>
      <c r="AT45" s="11" t="str" cm="1">
        <f t="array" ref="AT45">+_xll.BDP(AQ45,AT$1)</f>
        <v>Banks</v>
      </c>
    </row>
    <row r="46" spans="1:46" x14ac:dyDescent="0.25">
      <c r="A46" s="11" t="s">
        <v>274</v>
      </c>
      <c r="B46" s="11" t="s">
        <v>275</v>
      </c>
      <c r="C46" s="7">
        <f>+_xll.BDP($B46,C$36)</f>
        <v>16.767998223100157</v>
      </c>
      <c r="D46" s="7">
        <f>+_xll.BDP($B46,C$36,"Best_Fperiod_override=2gy")</f>
        <v>16.83821241521234</v>
      </c>
      <c r="E46" s="7">
        <f>+_xll.BDP($B46,E$36,"Best_Fperiod_override=3gy")</f>
        <v>15.808054133938791</v>
      </c>
      <c r="F46" s="7">
        <f>+_xll.BDP($B46,F$36)</f>
        <v>1.527604</v>
      </c>
      <c r="G46" s="7">
        <f>+_xll.BDP($B46,G$36)</f>
        <v>5.3275810000000003</v>
      </c>
      <c r="H46" s="7">
        <f>+_xll.BDP($B46,H$36)</f>
        <v>12.926360000000001</v>
      </c>
      <c r="I46" s="7">
        <f>+_xll.BDP($B46,I$36)</f>
        <v>89.785570000000007</v>
      </c>
      <c r="K46" s="11" t="s">
        <v>309</v>
      </c>
      <c r="L46" s="11" t="s">
        <v>307</v>
      </c>
      <c r="M46" s="7">
        <f>+_xll.BDP($L46,$M$36)</f>
        <v>13.311562712689879</v>
      </c>
      <c r="N46" s="7">
        <f>+_xll.BDP($L46,$M$36,"Best_Fperiod_override=2gy")</f>
        <v>11.964670885563725</v>
      </c>
      <c r="O46" s="7">
        <f>+_xll.BDP($L46,$M$36,"Best_Fperiod_override=3gy")</f>
        <v>10.883204761692955</v>
      </c>
      <c r="P46" s="7">
        <f>+_xll.BDP($L46,P$36)</f>
        <v>-2.160711</v>
      </c>
      <c r="Q46" s="7">
        <f>+_xll.BDP($L46,Q$36)</f>
        <v>-3.7635329999999998</v>
      </c>
      <c r="R46" s="7">
        <f>+_xll.BDP($L46,R$36)</f>
        <v>1.554065</v>
      </c>
      <c r="S46" s="7">
        <f>+_xll.BDP($L46,S$36)</f>
        <v>16.498529999999999</v>
      </c>
      <c r="T46" s="29"/>
      <c r="U46" s="29"/>
      <c r="AE46" t="s">
        <v>586</v>
      </c>
      <c r="AF46" s="11" cm="1">
        <f t="array" ref="AF46">+_xll.BDP(AE46,AF$1)</f>
        <v>-23.504169999999998</v>
      </c>
      <c r="AG46" s="11" t="str" cm="1">
        <f t="array" ref="AG46">+_xll.BDP(AE46,AG$1)</f>
        <v>Materials</v>
      </c>
      <c r="AH46" s="11" t="str" cm="1">
        <f t="array" ref="AH46">+_xll.BDP(AE46,AH$1)</f>
        <v>Forest Products&amp;Paper</v>
      </c>
      <c r="AK46" t="s">
        <v>721</v>
      </c>
      <c r="AL46" s="11" cm="1">
        <f t="array" ref="AL46">+_xll.BDP(AK46,AL$1)</f>
        <v>-7.5193089999999998</v>
      </c>
      <c r="AM46" s="11" t="str" cm="1">
        <f t="array" ref="AM46">+_xll.BDP(AK46,AM$1)</f>
        <v>Consumer Discretionary</v>
      </c>
      <c r="AN46" s="11" t="str" cm="1">
        <f t="array" ref="AN46">+_xll.BDP(AK46,AN$1)</f>
        <v>Auto Manufacturers</v>
      </c>
      <c r="AQ46" t="s">
        <v>627</v>
      </c>
      <c r="AR46" s="11" cm="1">
        <f t="array" ref="AR46">+_xll.BDP(AQ46,AR$1)</f>
        <v>1.643187</v>
      </c>
      <c r="AS46" s="11" t="str" cm="1">
        <f t="array" ref="AS46">+_xll.BDP(AQ46,AS$1)</f>
        <v>Energy</v>
      </c>
      <c r="AT46" s="11" t="str" cm="1">
        <f t="array" ref="AT46">+_xll.BDP(AQ46,AT$1)</f>
        <v>Oil&amp;Gas</v>
      </c>
    </row>
    <row r="47" spans="1:46" x14ac:dyDescent="0.25">
      <c r="A47" s="2" t="s">
        <v>273</v>
      </c>
      <c r="B47" s="2" t="s">
        <v>276</v>
      </c>
      <c r="C47" s="35">
        <f>+_xll.BDP($B47,C$36)</f>
        <v>22.052422609246136</v>
      </c>
      <c r="D47" s="35">
        <f>+_xll.BDP($B47,C$36,"Best_Fperiod_override=2gy")</f>
        <v>20.4209815596105</v>
      </c>
      <c r="E47" s="35">
        <f>+_xll.BDP($B47,E$36,"Best_Fperiod_override=3gy")</f>
        <v>18.893280360016401</v>
      </c>
      <c r="F47" s="35">
        <f>+_xll.BDP($B47,F$36)</f>
        <v>6.5263999999999998</v>
      </c>
      <c r="G47" s="35">
        <f>+_xll.BDP($B47,G$36)</f>
        <v>12.344749999999999</v>
      </c>
      <c r="H47" s="35">
        <f>+_xll.BDP($B47,H$36)</f>
        <v>13.24971</v>
      </c>
      <c r="I47" s="35">
        <f>+_xll.BDP($B47,I$36)</f>
        <v>46.203960000000002</v>
      </c>
      <c r="K47" s="11" t="s">
        <v>310</v>
      </c>
      <c r="L47" s="11" t="s">
        <v>312</v>
      </c>
      <c r="M47" s="7">
        <f>+_xll.BDP($L47,$M$36)</f>
        <v>15.00760590269627</v>
      </c>
      <c r="N47" s="7">
        <f>+_xll.BDP($L47,$M$36,"Best_Fperiod_override=2gy")</f>
        <v>14.443942705075818</v>
      </c>
      <c r="O47" s="7">
        <f>+_xll.BDP($L47,$M$36,"Best_Fperiod_override=3gy")</f>
        <v>12.801363473939656</v>
      </c>
      <c r="P47" s="7">
        <f>+_xll.BDP($L47,P$36)</f>
        <v>-2.5497010000000002</v>
      </c>
      <c r="Q47" s="7">
        <f>+_xll.BDP($L47,Q$36)</f>
        <v>-6.9194699999999996</v>
      </c>
      <c r="R47" s="7">
        <f>+_xll.BDP($L47,R$36)</f>
        <v>1.500032</v>
      </c>
      <c r="S47" s="7">
        <f>+_xll.BDP($L47,S$36)</f>
        <v>38.995849999999997</v>
      </c>
      <c r="AE47" t="s">
        <v>545</v>
      </c>
      <c r="AF47" s="11" cm="1">
        <f t="array" ref="AF47">+_xll.BDP(AE47,AF$1)</f>
        <v>1.3431010000000001</v>
      </c>
      <c r="AG47" s="11" t="str" cm="1">
        <f t="array" ref="AG47">+_xll.BDP(AE47,AG$1)</f>
        <v>Industrials</v>
      </c>
      <c r="AH47" s="11" t="str" cm="1">
        <f t="array" ref="AH47">+_xll.BDP(AE47,AH$1)</f>
        <v>Machinery-Diversified</v>
      </c>
      <c r="AK47" t="s">
        <v>687</v>
      </c>
      <c r="AL47" s="11" cm="1">
        <f t="array" ref="AL47">+_xll.BDP(AK47,AL$1)</f>
        <v>15.819610000000001</v>
      </c>
      <c r="AM47" s="11" t="str" cm="1">
        <f t="array" ref="AM47">+_xll.BDP(AK47,AM$1)</f>
        <v>Materials</v>
      </c>
      <c r="AN47" s="11" t="str" cm="1">
        <f t="array" ref="AN47">+_xll.BDP(AK47,AN$1)</f>
        <v>Iron/Steel</v>
      </c>
      <c r="AQ47" t="s">
        <v>652</v>
      </c>
      <c r="AR47" s="11" cm="1">
        <f t="array" ref="AR47">+_xll.BDP(AQ47,AR$1)</f>
        <v>-19.35324</v>
      </c>
      <c r="AS47" s="11" t="str" cm="1">
        <f t="array" ref="AS47">+_xll.BDP(AQ47,AS$1)</f>
        <v>Consumer Discretionary</v>
      </c>
      <c r="AT47" s="11" t="str" cm="1">
        <f t="array" ref="AT47">+_xll.BDP(AQ47,AT$1)</f>
        <v>Auto Manufacturers</v>
      </c>
    </row>
    <row r="48" spans="1:46" x14ac:dyDescent="0.25">
      <c r="A48" s="7" t="str">
        <f>+K4</f>
        <v>US</v>
      </c>
      <c r="B48" s="11" t="s">
        <v>931</v>
      </c>
      <c r="C48" s="7">
        <f>+_xll.BDP($B48,C$36)</f>
        <v>19.315060027908245</v>
      </c>
      <c r="D48" s="7">
        <f>+_xll.BDP($B48,C$36,"Best_Fperiod_override=2gy")</f>
        <v>17.641287018226159</v>
      </c>
      <c r="E48" s="7">
        <f>+_xll.BDP($B48,E$36,"Best_Fperiod_override=3gy")</f>
        <v>16.211514634824681</v>
      </c>
      <c r="F48" s="7">
        <f>+N4</f>
        <v>-2.61436</v>
      </c>
      <c r="G48" s="7">
        <f>+O4</f>
        <v>-3.32768</v>
      </c>
      <c r="H48" s="7">
        <f>+P4</f>
        <v>6.2558990000000003</v>
      </c>
      <c r="I48" s="7">
        <f>+Q4</f>
        <v>87.068539999999999</v>
      </c>
      <c r="K48" s="11" t="s">
        <v>311</v>
      </c>
      <c r="L48" s="11" t="s">
        <v>313</v>
      </c>
      <c r="M48" s="7">
        <f>+_xll.BDP($L48,$M$36)</f>
        <v>21.370753042237471</v>
      </c>
      <c r="N48" s="7">
        <f>+_xll.BDP($L48,$M$36,"Best_Fperiod_override=2gy")</f>
        <v>19.122097701506124</v>
      </c>
      <c r="O48" s="7">
        <f>+_xll.BDP($L48,$M$36,"Best_Fperiod_override=3gy")</f>
        <v>17.325093128129531</v>
      </c>
      <c r="P48" s="7">
        <f>+_xll.BDP($L48,P$36)</f>
        <v>2.970145</v>
      </c>
      <c r="Q48" s="7">
        <f>+_xll.BDP($L48,Q$36)</f>
        <v>-1.8200350000000001</v>
      </c>
      <c r="R48" s="7">
        <f>+_xll.BDP($L48,R$36)</f>
        <v>-2.165476</v>
      </c>
      <c r="S48" s="7">
        <f>+_xll.BDP($L48,S$36)</f>
        <v>-8.5756859999999993</v>
      </c>
      <c r="AE48" t="s">
        <v>508</v>
      </c>
      <c r="AF48" s="11" cm="1">
        <f t="array" ref="AF48">+_xll.BDP(AE48,AF$1)</f>
        <v>-18.32986</v>
      </c>
      <c r="AG48" s="11" t="str" cm="1">
        <f t="array" ref="AG48">+_xll.BDP(AE48,AG$1)</f>
        <v>Financials</v>
      </c>
      <c r="AH48" s="11" t="str" cm="1">
        <f t="array" ref="AH48">+_xll.BDP(AE48,AH$1)</f>
        <v>Insurance</v>
      </c>
      <c r="AK48" t="s">
        <v>704</v>
      </c>
      <c r="AL48" s="11" cm="1">
        <f t="array" ref="AL48">+_xll.BDP(AK48,AL$1)</f>
        <v>-1.7667839999999999</v>
      </c>
      <c r="AM48" s="11" t="str" cm="1">
        <f t="array" ref="AM48">+_xll.BDP(AK48,AM$1)</f>
        <v>Materials</v>
      </c>
      <c r="AN48" s="11" t="str" cm="1">
        <f t="array" ref="AN48">+_xll.BDP(AK48,AN$1)</f>
        <v>Chemicals</v>
      </c>
      <c r="AQ48" t="s">
        <v>620</v>
      </c>
      <c r="AR48" s="11" cm="1">
        <f t="array" ref="AR48">+_xll.BDP(AQ48,AR$1)</f>
        <v>5.9304730000000001</v>
      </c>
      <c r="AS48" s="11" t="str" cm="1">
        <f t="array" ref="AS48">+_xll.BDP(AQ48,AS$1)</f>
        <v>Financials</v>
      </c>
      <c r="AT48" s="11" t="str" cm="1">
        <f t="array" ref="AT48">+_xll.BDP(AQ48,AT$1)</f>
        <v>Banks</v>
      </c>
    </row>
    <row r="49" spans="1:46" x14ac:dyDescent="0.25">
      <c r="A49" s="29"/>
      <c r="B49" s="29"/>
      <c r="C49" s="7"/>
      <c r="K49" s="11" t="s">
        <v>317</v>
      </c>
      <c r="L49" s="11" t="s">
        <v>314</v>
      </c>
      <c r="M49" s="7">
        <f>+_xll.BDP($L49,$M$36)</f>
        <v>18.174093955629683</v>
      </c>
      <c r="N49" s="7">
        <f>+_xll.BDP($L49,$M$36,"Best_Fperiod_override=2gy")</f>
        <v>15.866137659121971</v>
      </c>
      <c r="O49" s="7">
        <f>+_xll.BDP($L49,$M$36,"Best_Fperiod_override=3gy")</f>
        <v>14.227808941975278</v>
      </c>
      <c r="P49" s="7">
        <f>+_xll.BDP($L49,P$36)</f>
        <v>-4.7580200000000001</v>
      </c>
      <c r="Q49" s="7">
        <f>+_xll.BDP($L49,Q$36)</f>
        <v>-11.077030000000001</v>
      </c>
      <c r="R49" s="7">
        <f>+_xll.BDP($L49,R$36)</f>
        <v>-8.245514</v>
      </c>
      <c r="S49" s="7">
        <f>+_xll.BDP($L49,S$36)</f>
        <v>33.02478</v>
      </c>
      <c r="AE49" t="s">
        <v>524</v>
      </c>
      <c r="AF49" s="11" cm="1">
        <f t="array" ref="AF49">+_xll.BDP(AE49,AF$1)</f>
        <v>-28.525839999999999</v>
      </c>
      <c r="AG49" s="11" t="str" cm="1">
        <f t="array" ref="AG49">+_xll.BDP(AE49,AG$1)</f>
        <v>Consumer Staples</v>
      </c>
      <c r="AH49" s="11" t="str" cm="1">
        <f t="array" ref="AH49">+_xll.BDP(AE49,AH$1)</f>
        <v>Food</v>
      </c>
      <c r="AK49" t="s">
        <v>786</v>
      </c>
      <c r="AL49" s="11" cm="1">
        <f t="array" ref="AL49">+_xll.BDP(AK49,AL$1)</f>
        <v>-8.1416389999999996</v>
      </c>
      <c r="AM49" s="11" t="str" cm="1">
        <f t="array" ref="AM49">+_xll.BDP(AK49,AM$1)</f>
        <v>Materials</v>
      </c>
      <c r="AN49" s="11" t="str" cm="1">
        <f t="array" ref="AN49">+_xll.BDP(AK49,AN$1)</f>
        <v>Chemicals</v>
      </c>
      <c r="AQ49" t="s">
        <v>637</v>
      </c>
      <c r="AR49" s="11" cm="1">
        <f t="array" ref="AR49">+_xll.BDP(AQ49,AR$1)</f>
        <v>0.30395250000000001</v>
      </c>
      <c r="AS49" s="11" t="str" cm="1">
        <f t="array" ref="AS49">+_xll.BDP(AQ49,AS$1)</f>
        <v>Financials</v>
      </c>
      <c r="AT49" s="11" t="str" cm="1">
        <f t="array" ref="AT49">+_xll.BDP(AQ49,AT$1)</f>
        <v>Banks</v>
      </c>
    </row>
    <row r="50" spans="1:46" x14ac:dyDescent="0.25">
      <c r="K50" s="11" t="s">
        <v>316</v>
      </c>
      <c r="L50" s="11" t="s">
        <v>315</v>
      </c>
      <c r="M50" s="7">
        <f>+_xll.BDP($L50,$M$36)</f>
        <v>10.117380751024681</v>
      </c>
      <c r="N50" s="7">
        <f>+_xll.BDP($L50,$M$36,"Best_Fperiod_override=2gy")</f>
        <v>9.1172871120020602</v>
      </c>
      <c r="O50" s="7">
        <f>+_xll.BDP($L50,$M$36,"Best_Fperiod_override=3gy")</f>
        <v>8.6293345914148993</v>
      </c>
      <c r="P50" s="7">
        <f>+_xll.BDP($L50,P$36)</f>
        <v>2.4775499999999999</v>
      </c>
      <c r="Q50" s="7">
        <f>+_xll.BDP($L50,Q$36)</f>
        <v>6.2376899999999997</v>
      </c>
      <c r="R50" s="7">
        <f>+_xll.BDP($L50,R$36)</f>
        <v>6.8000970000000001</v>
      </c>
      <c r="S50" s="7">
        <f>+_xll.BDP($L50,S$36)</f>
        <v>23.86121</v>
      </c>
      <c r="AE50" t="s">
        <v>540</v>
      </c>
      <c r="AF50" s="11" cm="1">
        <f t="array" ref="AF50">+_xll.BDP(AE50,AF$1)</f>
        <v>-0.1007557</v>
      </c>
      <c r="AG50" s="11" t="str" cm="1">
        <f t="array" ref="AG50">+_xll.BDP(AE50,AG$1)</f>
        <v>Communication Services</v>
      </c>
      <c r="AH50" s="11" t="str" cm="1">
        <f t="array" ref="AH50">+_xll.BDP(AE50,AH$1)</f>
        <v>Media</v>
      </c>
      <c r="AK50" t="s">
        <v>672</v>
      </c>
      <c r="AL50" s="11" cm="1">
        <f t="array" ref="AL50">+_xll.BDP(AK50,AL$1)</f>
        <v>-36.085630000000002</v>
      </c>
      <c r="AM50" s="11" t="str" cm="1">
        <f t="array" ref="AM50">+_xll.BDP(AK50,AM$1)</f>
        <v>Industrials</v>
      </c>
      <c r="AN50" s="11" t="str" cm="1">
        <f t="array" ref="AN50">+_xll.BDP(AK50,AN$1)</f>
        <v>Metal Fabricate/Hardware</v>
      </c>
      <c r="AQ50" t="s">
        <v>644</v>
      </c>
      <c r="AR50" s="11" cm="1">
        <f t="array" ref="AR50">+_xll.BDP(AQ50,AR$1)</f>
        <v>26.6187</v>
      </c>
      <c r="AS50" s="11" t="str" cm="1">
        <f t="array" ref="AS50">+_xll.BDP(AQ50,AS$1)</f>
        <v>Energy</v>
      </c>
      <c r="AT50" s="11" t="str" cm="1">
        <f t="array" ref="AT50">+_xll.BDP(AQ50,AT$1)</f>
        <v>Oil&amp;Gas</v>
      </c>
    </row>
    <row r="51" spans="1:46" x14ac:dyDescent="0.25">
      <c r="K51" s="11" t="s">
        <v>318</v>
      </c>
      <c r="L51" s="11" t="s">
        <v>319</v>
      </c>
      <c r="M51" s="7">
        <f>+_xll.BDP($L51,$M$36)</f>
        <v>16.806373357254735</v>
      </c>
      <c r="N51" s="7">
        <f>+_xll.BDP($L51,$M$36,"Best_Fperiod_override=2gy")</f>
        <v>15.282009387919267</v>
      </c>
      <c r="O51" s="7">
        <f>+_xll.BDP($L51,$M$36,"Best_Fperiod_override=3gy")</f>
        <v>13.822198485914846</v>
      </c>
      <c r="P51" s="7">
        <f>+_xll.BDP($L51,P$36)</f>
        <v>3.4770729999999999</v>
      </c>
      <c r="Q51" s="7">
        <f>+_xll.BDP($L51,Q$36)</f>
        <v>6.9850770000000006E-2</v>
      </c>
      <c r="R51" s="7">
        <f>+_xll.BDP($L51,R$36)</f>
        <v>2.7903289999999998</v>
      </c>
      <c r="S51" s="7">
        <f>+_xll.BDP($L51,S$36)</f>
        <v>4.3200289999999999</v>
      </c>
      <c r="AE51" t="s">
        <v>546</v>
      </c>
      <c r="AF51" s="11" cm="1">
        <f t="array" ref="AF51">+_xll.BDP(AE51,AF$1)</f>
        <v>-12.91785</v>
      </c>
      <c r="AG51" s="11" t="str" cm="1">
        <f t="array" ref="AG51">+_xll.BDP(AE51,AG$1)</f>
        <v>Financials</v>
      </c>
      <c r="AH51" s="11" t="str" cm="1">
        <f t="array" ref="AH51">+_xll.BDP(AE51,AH$1)</f>
        <v>Diversified Finan Serv</v>
      </c>
      <c r="AK51" t="s">
        <v>839</v>
      </c>
      <c r="AL51" s="11" cm="1">
        <f t="array" ref="AL51">+_xll.BDP(AK51,AL$1)</f>
        <v>-13.09873</v>
      </c>
      <c r="AM51" s="11" t="str" cm="1">
        <f t="array" ref="AM51">+_xll.BDP(AK51,AM$1)</f>
        <v>Materials</v>
      </c>
      <c r="AN51" s="11" t="str" cm="1">
        <f t="array" ref="AN51">+_xll.BDP(AK51,AN$1)</f>
        <v>Chemicals</v>
      </c>
      <c r="AQ51" t="s">
        <v>647</v>
      </c>
      <c r="AR51" s="11" cm="1">
        <f t="array" ref="AR51">+_xll.BDP(AQ51,AR$1)</f>
        <v>-23.543489999999998</v>
      </c>
      <c r="AS51" s="11" t="str" cm="1">
        <f t="array" ref="AS51">+_xll.BDP(AQ51,AS$1)</f>
        <v>Materials</v>
      </c>
      <c r="AT51" s="11" t="str" cm="1">
        <f t="array" ref="AT51">+_xll.BDP(AQ51,AT$1)</f>
        <v>Building Materials</v>
      </c>
    </row>
    <row r="52" spans="1:46" x14ac:dyDescent="0.25">
      <c r="K52" s="11" t="s">
        <v>320</v>
      </c>
      <c r="L52" s="11" t="s">
        <v>321</v>
      </c>
      <c r="M52" s="7">
        <f>+_xll.BDP($L52,$M$36)</f>
        <v>23.414784676510497</v>
      </c>
      <c r="N52" s="7">
        <f>+_xll.BDP($L52,$M$36,"Best_Fperiod_override=2gy")</f>
        <v>19.769219949518774</v>
      </c>
      <c r="O52" s="7">
        <f>+_xll.BDP($L52,$M$36,"Best_Fperiod_override=3gy")</f>
        <v>16.805926542170837</v>
      </c>
      <c r="P52" s="7">
        <f>+_xll.BDP($L52,P$36)</f>
        <v>-9.0217650000000003</v>
      </c>
      <c r="Q52" s="7">
        <f>+_xll.BDP($L52,Q$36)</f>
        <v>-20.438479999999998</v>
      </c>
      <c r="R52" s="7">
        <f>+_xll.BDP($L52,R$36)</f>
        <v>-10.274889999999999</v>
      </c>
      <c r="S52" s="7">
        <f>+_xll.BDP($L52,S$36)</f>
        <v>67.386560000000003</v>
      </c>
      <c r="AE52" t="s">
        <v>556</v>
      </c>
      <c r="AF52" s="11" cm="1">
        <f t="array" ref="AF52">+_xll.BDP(AE52,AF$1)</f>
        <v>-9.2609630000000003</v>
      </c>
      <c r="AG52" s="11" t="str" cm="1">
        <f t="array" ref="AG52">+_xll.BDP(AE52,AG$1)</f>
        <v>Industrials</v>
      </c>
      <c r="AH52" s="11" t="str" cm="1">
        <f t="array" ref="AH52">+_xll.BDP(AE52,AH$1)</f>
        <v>Miscellaneous Manufactur</v>
      </c>
      <c r="AK52" t="s">
        <v>686</v>
      </c>
      <c r="AL52" s="11" cm="1">
        <f t="array" ref="AL52">+_xll.BDP(AK52,AL$1)</f>
        <v>12.038830000000001</v>
      </c>
      <c r="AM52" s="11" t="str" cm="1">
        <f t="array" ref="AM52">+_xll.BDP(AK52,AM$1)</f>
        <v>Industrials</v>
      </c>
      <c r="AN52" s="11" t="str" cm="1">
        <f t="array" ref="AN52">+_xll.BDP(AK52,AN$1)</f>
        <v>Electrical Compo&amp;Equip</v>
      </c>
      <c r="AQ52"/>
    </row>
    <row r="53" spans="1:46" x14ac:dyDescent="0.25">
      <c r="F53" s="7"/>
      <c r="G53" s="7"/>
      <c r="H53" s="7"/>
      <c r="I53" s="7"/>
      <c r="K53" s="11" t="s">
        <v>273</v>
      </c>
      <c r="L53" s="11" t="s">
        <v>323</v>
      </c>
      <c r="M53" s="7">
        <f>+_xll.BDP($L53,$M$36)</f>
        <v>14.447841148471936</v>
      </c>
      <c r="N53" s="7">
        <f>+_xll.BDP($L53,$M$36,"Best_Fperiod_override=2gy")</f>
        <v>13.450054869509454</v>
      </c>
      <c r="O53" s="7">
        <f>+_xll.BDP($L53,$M$36,"Best_Fperiod_override=3gy")</f>
        <v>12.398746915596604</v>
      </c>
      <c r="P53" s="7">
        <f>+_xll.BDP($L53,P$36)</f>
        <v>2.829218</v>
      </c>
      <c r="Q53" s="7">
        <f>+_xll.BDP($L53,Q$36)</f>
        <v>-1.87341</v>
      </c>
      <c r="R53" s="7">
        <f>+_xll.BDP($L53,R$36)</f>
        <v>-6.0142540000000002</v>
      </c>
      <c r="S53" s="7">
        <f>+_xll.BDP($L53,S$36)</f>
        <v>44.567990000000002</v>
      </c>
      <c r="AE53" t="s">
        <v>532</v>
      </c>
      <c r="AF53" s="11" cm="1">
        <f t="array" ref="AF53">+_xll.BDP(AE53,AF$1)</f>
        <v>-14.599819999999999</v>
      </c>
      <c r="AG53" s="11" t="str" cm="1">
        <f t="array" ref="AG53">+_xll.BDP(AE53,AG$1)</f>
        <v>Consumer Discretionary</v>
      </c>
      <c r="AH53" s="11" t="str" cm="1">
        <f t="array" ref="AH53">+_xll.BDP(AE53,AH$1)</f>
        <v>Lodging</v>
      </c>
      <c r="AK53" t="s">
        <v>668</v>
      </c>
      <c r="AL53" s="11" cm="1">
        <f t="array" ref="AL53">+_xll.BDP(AK53,AL$1)</f>
        <v>48.121029999999998</v>
      </c>
      <c r="AM53" s="11" t="str" cm="1">
        <f t="array" ref="AM53">+_xll.BDP(AK53,AM$1)</f>
        <v>Industrials</v>
      </c>
      <c r="AN53" s="11" t="str" cm="1">
        <f t="array" ref="AN53">+_xll.BDP(AK53,AN$1)</f>
        <v>Aerospace/Defense</v>
      </c>
      <c r="AQ53"/>
    </row>
    <row r="54" spans="1:46" x14ac:dyDescent="0.25">
      <c r="F54" s="7"/>
      <c r="G54" s="7"/>
      <c r="H54" s="7"/>
      <c r="I54" s="7"/>
      <c r="K54" s="11" t="s">
        <v>325</v>
      </c>
      <c r="L54" s="11" t="s">
        <v>326</v>
      </c>
      <c r="M54" s="7">
        <f>+_xll.BDP($L54,$M$36)</f>
        <v>19.847254273570826</v>
      </c>
      <c r="N54" s="7">
        <f>+_xll.BDP($L54,$M$36,"Best_Fperiod_override=2gy")</f>
        <v>17.975355908740784</v>
      </c>
      <c r="O54" s="7">
        <f>+_xll.BDP($L54,$M$36,"Best_Fperiod_override=3gy")</f>
        <v>16.589918842039047</v>
      </c>
      <c r="P54" s="7">
        <f>+_xll.BDP($L54,P$36)</f>
        <v>1.3042309999999999</v>
      </c>
      <c r="Q54" s="7">
        <f>+_xll.BDP($L54,Q$36)</f>
        <v>-0.13514319999999999</v>
      </c>
      <c r="R54" s="7">
        <f>+_xll.BDP($L54,R$36)</f>
        <v>9.4033850000000001</v>
      </c>
      <c r="S54" s="7">
        <f>+_xll.BDP($L54,S$36)</f>
        <v>18.729379999999999</v>
      </c>
      <c r="AE54" t="s">
        <v>520</v>
      </c>
      <c r="AF54" s="11" cm="1">
        <f t="array" ref="AF54">+_xll.BDP(AE54,AF$1)</f>
        <v>6.62324</v>
      </c>
      <c r="AG54" s="11" t="str" cm="1">
        <f t="array" ref="AG54">+_xll.BDP(AE54,AG$1)</f>
        <v>Communication Services</v>
      </c>
      <c r="AH54" s="11" t="str" cm="1">
        <f t="array" ref="AH54">+_xll.BDP(AE54,AH$1)</f>
        <v>Media</v>
      </c>
      <c r="AK54" t="s">
        <v>710</v>
      </c>
      <c r="AL54" s="11" cm="1">
        <f t="array" ref="AL54">+_xll.BDP(AK54,AL$1)</f>
        <v>18.74634</v>
      </c>
      <c r="AM54" s="11" t="str" cm="1">
        <f t="array" ref="AM54">+_xll.BDP(AK54,AM$1)</f>
        <v>Industrials</v>
      </c>
      <c r="AN54" s="11" t="str" cm="1">
        <f t="array" ref="AN54">+_xll.BDP(AK54,AN$1)</f>
        <v>Machinery-Constr&amp;Mining</v>
      </c>
      <c r="AQ54"/>
    </row>
    <row r="55" spans="1:46" x14ac:dyDescent="0.25">
      <c r="F55" s="7"/>
      <c r="G55" s="7"/>
      <c r="H55" s="7"/>
      <c r="I55" s="7"/>
      <c r="K55" s="2" t="s">
        <v>290</v>
      </c>
      <c r="L55" s="2" t="s">
        <v>324</v>
      </c>
      <c r="M55" s="35">
        <f>+_xll.BDP($L55,$M$36)</f>
        <v>15.238136426076434</v>
      </c>
      <c r="N55" s="35">
        <f>+_xll.BDP($L55,$M$36,"Best_Fperiod_override=2gy")</f>
        <v>14.407105412222174</v>
      </c>
      <c r="O55" s="35">
        <f>+_xll.BDP($L55,$M$36,"Best_Fperiod_override=3gy")</f>
        <v>14.115476054296463</v>
      </c>
      <c r="P55" s="35">
        <f>+_xll.BDP($L55,P$36)</f>
        <v>-4.0754460000000003</v>
      </c>
      <c r="Q55" s="35">
        <f>+_xll.BDP($L55,Q$36)</f>
        <v>-12.368499999999999</v>
      </c>
      <c r="R55" s="35">
        <f>+_xll.BDP($L55,R$36)</f>
        <v>-8.8526679999999995</v>
      </c>
      <c r="S55" s="35">
        <f>+_xll.BDP($L55,S$36)</f>
        <v>-10.53655</v>
      </c>
      <c r="AE55" t="s">
        <v>516</v>
      </c>
      <c r="AF55" s="11" t="str" cm="1">
        <f t="array" ref="AF55">+_xll.BDP(AE55,AF$1)</f>
        <v>#N/A N/A</v>
      </c>
      <c r="AG55" s="11" t="str" cm="1">
        <f t="array" ref="AG55">+_xll.BDP(AE55,AG$1)</f>
        <v>Financials</v>
      </c>
      <c r="AH55" s="11" t="str" cm="1">
        <f t="array" ref="AH55">+_xll.BDP(AE55,AH$1)</f>
        <v>Diversified Finan Serv</v>
      </c>
      <c r="AK55" t="s">
        <v>693</v>
      </c>
      <c r="AL55" s="11" cm="1">
        <f t="array" ref="AL55">+_xll.BDP(AK55,AL$1)</f>
        <v>-1.383178</v>
      </c>
      <c r="AM55" s="11" t="str" cm="1">
        <f t="array" ref="AM55">+_xll.BDP(AK55,AM$1)</f>
        <v>Information Technology</v>
      </c>
      <c r="AN55" s="11" t="str" cm="1">
        <f t="array" ref="AN55">+_xll.BDP(AK55,AN$1)</f>
        <v>Electronics</v>
      </c>
      <c r="AQ55"/>
    </row>
    <row r="56" spans="1:46" x14ac:dyDescent="0.25">
      <c r="F56" s="7"/>
      <c r="G56" s="7"/>
      <c r="H56" s="7"/>
      <c r="I56" s="7"/>
      <c r="K56" s="11" t="s">
        <v>3</v>
      </c>
      <c r="L56" s="11" t="s">
        <v>384</v>
      </c>
      <c r="M56" s="7">
        <f>_xll.BDP($L56,$M$3)</f>
        <v>13.430390772584303</v>
      </c>
      <c r="N56" s="7">
        <f>+_xll.BDP($L56,$M$36,"Best_Fperiod_override=2gy")</f>
        <v>12.407121103743847</v>
      </c>
      <c r="O56" s="7">
        <f>+_xll.BDP($L56,$M$36,"Best_Fperiod_override=3gy")</f>
        <v>11.414746341677345</v>
      </c>
      <c r="P56" s="7">
        <f>+_xll.BDP($L56,N$3)</f>
        <v>-1.395499</v>
      </c>
      <c r="Q56" s="7">
        <f>+_xll.BDP($L56,O$3)</f>
        <v>-7.8879330000000003</v>
      </c>
      <c r="R56" s="7">
        <f>+_xll.BDP($L56,P$3)</f>
        <v>-2.600956</v>
      </c>
      <c r="S56" s="7">
        <f>+_xll.BDP($L56,Q$3)</f>
        <v>16.858260000000001</v>
      </c>
      <c r="AE56" t="s">
        <v>510</v>
      </c>
      <c r="AF56" s="11" cm="1">
        <f t="array" ref="AF56">+_xll.BDP(AE56,AF$1)</f>
        <v>5.0583689999999999</v>
      </c>
      <c r="AG56" s="11" t="str" cm="1">
        <f t="array" ref="AG56">+_xll.BDP(AE56,AG$1)</f>
        <v>Real Estate</v>
      </c>
      <c r="AH56" s="11" t="str" cm="1">
        <f t="array" ref="AH56">+_xll.BDP(AE56,AH$1)</f>
        <v>REITS</v>
      </c>
      <c r="AK56" t="s">
        <v>865</v>
      </c>
      <c r="AL56" s="11" cm="1">
        <f t="array" ref="AL56">+_xll.BDP(AK56,AL$1)</f>
        <v>-18.290189999999999</v>
      </c>
      <c r="AM56" s="11" t="str" cm="1">
        <f t="array" ref="AM56">+_xll.BDP(AK56,AM$1)</f>
        <v>Industrials</v>
      </c>
      <c r="AN56" s="11" t="str" cm="1">
        <f t="array" ref="AN56">+_xll.BDP(AK56,AN$1)</f>
        <v>Transportation</v>
      </c>
      <c r="AQ56"/>
    </row>
    <row r="57" spans="1:46" x14ac:dyDescent="0.25">
      <c r="F57" s="7"/>
      <c r="G57" s="7"/>
      <c r="H57" s="7"/>
      <c r="I57" s="7"/>
      <c r="K57" s="7"/>
      <c r="AE57" t="s">
        <v>565</v>
      </c>
      <c r="AF57" s="11" cm="1">
        <f t="array" ref="AF57">+_xll.BDP(AE57,AF$1)</f>
        <v>21.689869999999999</v>
      </c>
      <c r="AG57" s="11" t="str" cm="1">
        <f t="array" ref="AG57">+_xll.BDP(AE57,AG$1)</f>
        <v>Communication Services</v>
      </c>
      <c r="AH57" s="11" t="str" cm="1">
        <f t="array" ref="AH57">+_xll.BDP(AE57,AH$1)</f>
        <v>Telecommunications</v>
      </c>
      <c r="AK57" t="s">
        <v>666</v>
      </c>
      <c r="AL57" s="11" cm="1">
        <f t="array" ref="AL57">+_xll.BDP(AK57,AL$1)</f>
        <v>-5.1384990000000004</v>
      </c>
      <c r="AM57" s="11" t="str" cm="1">
        <f t="array" ref="AM57">+_xll.BDP(AK57,AM$1)</f>
        <v>Industrials</v>
      </c>
      <c r="AN57" s="11" t="str" cm="1">
        <f t="array" ref="AN57">+_xll.BDP(AK57,AN$1)</f>
        <v>Aerospace/Defense</v>
      </c>
      <c r="AQ57"/>
    </row>
    <row r="58" spans="1:46" x14ac:dyDescent="0.25">
      <c r="F58" s="7"/>
      <c r="G58" s="7"/>
      <c r="H58" s="7"/>
      <c r="I58" s="7"/>
      <c r="AE58" t="s">
        <v>523</v>
      </c>
      <c r="AF58" s="11" cm="1">
        <f t="array" ref="AF58">+_xll.BDP(AE58,AF$1)</f>
        <v>9.1244829999999997</v>
      </c>
      <c r="AG58" s="11" t="str" cm="1">
        <f t="array" ref="AG58">+_xll.BDP(AE58,AG$1)</f>
        <v>Financials</v>
      </c>
      <c r="AH58" s="11" t="str" cm="1">
        <f t="array" ref="AH58">+_xll.BDP(AE58,AH$1)</f>
        <v>Banks</v>
      </c>
      <c r="AK58" t="s">
        <v>711</v>
      </c>
      <c r="AL58" s="11" cm="1">
        <f t="array" ref="AL58">+_xll.BDP(AK58,AL$1)</f>
        <v>47.792999999999999</v>
      </c>
      <c r="AM58" s="11" t="str" cm="1">
        <f t="array" ref="AM58">+_xll.BDP(AK58,AM$1)</f>
        <v>Communication Services</v>
      </c>
      <c r="AN58" s="11" t="str" cm="1">
        <f t="array" ref="AN58">+_xll.BDP(AK58,AN$1)</f>
        <v>Advertising</v>
      </c>
      <c r="AQ58"/>
    </row>
    <row r="59" spans="1:46" hidden="1" x14ac:dyDescent="0.25">
      <c r="C59" s="7">
        <f>+MAX(C37:C47)</f>
        <v>47.071087775728074</v>
      </c>
      <c r="D59" s="7">
        <f>+MAX(F37:F47)</f>
        <v>7.9684549999999996</v>
      </c>
      <c r="E59" s="7">
        <f>+MAX(G37:G47)</f>
        <v>35.214320000000001</v>
      </c>
      <c r="F59" s="7">
        <f>+MAX(H37:H47)</f>
        <v>67.224140000000006</v>
      </c>
      <c r="G59" s="7">
        <f>+MAX(I37:I47)</f>
        <v>185.3931</v>
      </c>
      <c r="H59" s="7"/>
      <c r="I59" s="7"/>
      <c r="M59" s="7">
        <f>+MAX(M37:M55)</f>
        <v>24.990629032673205</v>
      </c>
      <c r="N59" s="7">
        <f>+MAX(P37:P55)</f>
        <v>5.289949</v>
      </c>
      <c r="O59" s="7">
        <f>+MAX(Q37:Q55)</f>
        <v>10.4123</v>
      </c>
      <c r="P59" s="7">
        <f>+MAX(R37:R55)</f>
        <v>15.04508</v>
      </c>
      <c r="Q59" s="7">
        <f>+MAX(S37:S55)</f>
        <v>67.386560000000003</v>
      </c>
      <c r="V59" s="7">
        <f>+MAX(C71:C74)</f>
        <v>22.869502958810546</v>
      </c>
      <c r="W59" s="7">
        <f>+MAX(D71:D74)</f>
        <v>1.751058</v>
      </c>
      <c r="X59" s="7">
        <f>+MAX(E71:E74)</f>
        <v>4.2999049999999999</v>
      </c>
      <c r="Y59" s="7">
        <f>+MAX(F71:F74)</f>
        <v>8.8080359999999995</v>
      </c>
      <c r="Z59" s="7">
        <f>+MAX(G71:G74)</f>
        <v>39.990699999999997</v>
      </c>
      <c r="AE59" t="s">
        <v>557</v>
      </c>
      <c r="AF59" s="11" cm="1">
        <f t="array" ref="AF59">+_xll.BDP(AE59,AF$1)</f>
        <v>-33.273470000000003</v>
      </c>
      <c r="AG59" s="11" t="str" cm="1">
        <f t="array" ref="AG59">+_xll.BDP(AE59,AG$1)</f>
        <v>Consumer Discretionary</v>
      </c>
      <c r="AH59" s="11" t="str" cm="1">
        <f t="array" ref="AH59">+_xll.BDP(AE59,AH$1)</f>
        <v>Home Builders</v>
      </c>
      <c r="AK59" t="s">
        <v>712</v>
      </c>
      <c r="AL59" s="11" cm="1">
        <f t="array" ref="AL59">+_xll.BDP(AK59,AL$1)</f>
        <v>-14.82301</v>
      </c>
      <c r="AM59" s="11" t="str" cm="1">
        <f t="array" ref="AM59">+_xll.BDP(AK59,AM$1)</f>
        <v>Consumer Discretionary</v>
      </c>
      <c r="AN59" s="11" t="str" cm="1">
        <f t="array" ref="AN59">+_xll.BDP(AK59,AN$1)</f>
        <v>Home Furnishings</v>
      </c>
      <c r="AQ59"/>
    </row>
    <row r="60" spans="1:46" hidden="1" x14ac:dyDescent="0.25">
      <c r="C60" s="7">
        <f>+MIN(C37:C47)</f>
        <v>10.07949616459357</v>
      </c>
      <c r="D60" s="7">
        <f>+MIN(F37:F47)</f>
        <v>-9.2930759999999992</v>
      </c>
      <c r="E60" s="7">
        <f>+MIN(G37:G47)</f>
        <v>-20.805540000000001</v>
      </c>
      <c r="F60" s="7">
        <f>+MIN(H37:H47)</f>
        <v>-13.76248</v>
      </c>
      <c r="G60" s="7">
        <f>+MIN(I37:I47)</f>
        <v>19.220120000000001</v>
      </c>
      <c r="H60" s="7"/>
      <c r="I60" s="7"/>
      <c r="M60" s="7">
        <f>+MIN(M37:M55)</f>
        <v>5.8722547913264176</v>
      </c>
      <c r="N60" s="7">
        <f>+MIN(P37:P55)</f>
        <v>-9.0217650000000003</v>
      </c>
      <c r="O60" s="7">
        <f>+MIN(Q37:Q55)</f>
        <v>-33.13908</v>
      </c>
      <c r="P60" s="7">
        <f>+MIN(R37:R55)</f>
        <v>-34.445419999999999</v>
      </c>
      <c r="Q60" s="7">
        <f>+MIN(S37:S55)</f>
        <v>-27.754249999999999</v>
      </c>
      <c r="V60" s="7">
        <f>+MIN(C71:C74)</f>
        <v>9.9267992833445007</v>
      </c>
      <c r="W60" s="7">
        <f>+MIN(D71:D74)</f>
        <v>-1.943651</v>
      </c>
      <c r="X60" s="7">
        <f>+MIN(E71:E74)</f>
        <v>-9.2904280000000004</v>
      </c>
      <c r="Y60" s="7">
        <f>+MIN(F71:F74)</f>
        <v>-4.1095439999999996</v>
      </c>
      <c r="Z60" s="7">
        <f>+MIN(G71:G74)</f>
        <v>1.322668</v>
      </c>
      <c r="AE60" t="s">
        <v>558</v>
      </c>
      <c r="AF60" s="11" cm="1">
        <f t="array" ref="AF60">+_xll.BDP(AE60,AF$1)</f>
        <v>17.669229999999999</v>
      </c>
      <c r="AG60" s="11" t="str" cm="1">
        <f t="array" ref="AG60">+_xll.BDP(AE60,AG$1)</f>
        <v>Consumer Staples</v>
      </c>
      <c r="AH60" s="11" t="str" cm="1">
        <f t="array" ref="AH60">+_xll.BDP(AE60,AH$1)</f>
        <v>Beverages</v>
      </c>
      <c r="AK60" t="s">
        <v>713</v>
      </c>
      <c r="AL60" s="11" cm="1">
        <f t="array" ref="AL60">+_xll.BDP(AK60,AL$1)</f>
        <v>28.417819999999999</v>
      </c>
      <c r="AM60" s="11" t="str" cm="1">
        <f t="array" ref="AM60">+_xll.BDP(AK60,AM$1)</f>
        <v>Consumer Staples</v>
      </c>
      <c r="AN60" s="11" t="str" cm="1">
        <f t="array" ref="AN60">+_xll.BDP(AK60,AN$1)</f>
        <v>Food</v>
      </c>
      <c r="AQ60"/>
    </row>
    <row r="61" spans="1:46" hidden="1" x14ac:dyDescent="0.25">
      <c r="AE61" t="s">
        <v>559</v>
      </c>
      <c r="AF61" s="11" cm="1">
        <f t="array" ref="AF61">+_xll.BDP(AE61,AF$1)</f>
        <v>3.3990659999999999</v>
      </c>
      <c r="AG61" s="11" t="str" cm="1">
        <f t="array" ref="AG61">+_xll.BDP(AE61,AG$1)</f>
        <v>Financials</v>
      </c>
      <c r="AH61" s="11" t="str" cm="1">
        <f t="array" ref="AH61">+_xll.BDP(AE61,AH$1)</f>
        <v>Diversified Finan Serv</v>
      </c>
      <c r="AK61" t="s">
        <v>714</v>
      </c>
      <c r="AL61" s="11" cm="1">
        <f t="array" ref="AL61">+_xll.BDP(AK61,AL$1)</f>
        <v>46.835439999999998</v>
      </c>
      <c r="AM61" s="11" t="str" cm="1">
        <f t="array" ref="AM61">+_xll.BDP(AK61,AM$1)</f>
        <v>Utilities</v>
      </c>
      <c r="AN61" s="11" t="str" cm="1">
        <f t="array" ref="AN61">+_xll.BDP(AK61,AN$1)</f>
        <v>Electric</v>
      </c>
      <c r="AQ61"/>
    </row>
    <row r="62" spans="1:46" hidden="1" x14ac:dyDescent="0.25">
      <c r="V62" s="7">
        <f>+MAX(C76:C79)</f>
        <v>23.108519695166251</v>
      </c>
      <c r="W62" s="7">
        <f>+MAX(D76:D79)</f>
        <v>0.96568399999999999</v>
      </c>
      <c r="X62" s="7">
        <f>+MAX(E76:E79)</f>
        <v>2.3558520000000001</v>
      </c>
      <c r="Y62" s="7">
        <f>+MAX(F76:F79)</f>
        <v>8.5206379999999999</v>
      </c>
      <c r="Z62" s="7">
        <f>+MAX(G76:G79)</f>
        <v>117.5943</v>
      </c>
      <c r="AE62" t="s">
        <v>560</v>
      </c>
      <c r="AF62" s="11" cm="1">
        <f t="array" ref="AF62">+_xll.BDP(AE62,AF$1)</f>
        <v>12.097770000000001</v>
      </c>
      <c r="AG62" s="11" t="str" cm="1">
        <f t="array" ref="AG62">+_xll.BDP(AE62,AG$1)</f>
        <v>Information Technology</v>
      </c>
      <c r="AH62" s="11" t="str" cm="1">
        <f t="array" ref="AH62">+_xll.BDP(AE62,AH$1)</f>
        <v>Software</v>
      </c>
      <c r="AK62" t="s">
        <v>715</v>
      </c>
      <c r="AL62" s="11" cm="1">
        <f t="array" ref="AL62">+_xll.BDP(AK62,AL$1)</f>
        <v>-39.0137</v>
      </c>
      <c r="AM62" s="11" t="str" cm="1">
        <f t="array" ref="AM62">+_xll.BDP(AK62,AM$1)</f>
        <v>Consumer Discretionary</v>
      </c>
      <c r="AN62" s="11" t="str" cm="1">
        <f t="array" ref="AN62">+_xll.BDP(AK62,AN$1)</f>
        <v>Home Furnishings</v>
      </c>
      <c r="AQ62"/>
    </row>
    <row r="63" spans="1:46" hidden="1" x14ac:dyDescent="0.25">
      <c r="V63" s="7">
        <f>+MIN(C76:C79)</f>
        <v>14.348097781555317</v>
      </c>
      <c r="W63" s="7">
        <f>+MIN(D76:D79)</f>
        <v>-6.1138389999999996</v>
      </c>
      <c r="X63" s="7">
        <f>+MIN(E76:E79)</f>
        <v>-8.8441700000000001</v>
      </c>
      <c r="Y63" s="7">
        <f>+MIN(F76:F79)</f>
        <v>-2.5229249999999999</v>
      </c>
      <c r="Z63" s="7">
        <f>+MIN(G76:G79)</f>
        <v>52.631279999999997</v>
      </c>
      <c r="AE63" t="s">
        <v>561</v>
      </c>
      <c r="AF63" s="11" cm="1">
        <f t="array" ref="AF63">+_xll.BDP(AE63,AF$1)</f>
        <v>33.949150000000003</v>
      </c>
      <c r="AG63" s="11" t="str" cm="1">
        <f t="array" ref="AG63">+_xll.BDP(AE63,AG$1)</f>
        <v>Energy</v>
      </c>
      <c r="AH63" s="11" t="str" cm="1">
        <f t="array" ref="AH63">+_xll.BDP(AE63,AH$1)</f>
        <v>Oil&amp;Gas</v>
      </c>
      <c r="AK63" t="s">
        <v>716</v>
      </c>
      <c r="AL63" s="11" cm="1">
        <f t="array" ref="AL63">+_xll.BDP(AK63,AL$1)</f>
        <v>-21.381029999999999</v>
      </c>
      <c r="AM63" s="11" t="str" cm="1">
        <f t="array" ref="AM63">+_xll.BDP(AK63,AM$1)</f>
        <v>Industrials</v>
      </c>
      <c r="AN63" s="11" t="str" cm="1">
        <f t="array" ref="AN63">+_xll.BDP(AK63,AN$1)</f>
        <v>Machinery-Diversified</v>
      </c>
      <c r="AQ63"/>
    </row>
    <row r="64" spans="1:46" hidden="1" x14ac:dyDescent="0.25">
      <c r="AE64" t="s">
        <v>562</v>
      </c>
      <c r="AF64" s="11" t="str" cm="1">
        <f t="array" ref="AF64">+_xll.BDP(AE64,AF$1)</f>
        <v>#N/A N/A</v>
      </c>
      <c r="AG64" s="11" t="str" cm="1">
        <f t="array" ref="AG64">+_xll.BDP(AE64,AG$1)</f>
        <v>Energy</v>
      </c>
      <c r="AH64" s="11" t="str" cm="1">
        <f t="array" ref="AH64">+_xll.BDP(AE64,AH$1)</f>
        <v>Oil&amp;Gas</v>
      </c>
      <c r="AK64" t="s">
        <v>717</v>
      </c>
      <c r="AL64" s="11" cm="1">
        <f t="array" ref="AL64">+_xll.BDP(AK64,AL$1)</f>
        <v>19.421489999999999</v>
      </c>
      <c r="AM64" s="11" t="str" cm="1">
        <f t="array" ref="AM64">+_xll.BDP(AK64,AM$1)</f>
        <v>Industrials</v>
      </c>
      <c r="AN64" s="11" t="str" cm="1">
        <f t="array" ref="AN64">+_xll.BDP(AK64,AN$1)</f>
        <v>Hand/Machine Tools</v>
      </c>
      <c r="AQ64"/>
    </row>
    <row r="65" spans="1:43" hidden="1" x14ac:dyDescent="0.25">
      <c r="V65" s="7"/>
      <c r="W65" s="7">
        <f>+MAX(D88:D95)</f>
        <v>35.644881637724616</v>
      </c>
      <c r="X65" s="7">
        <f>+MAX(E88:E95)</f>
        <v>60.480163814103726</v>
      </c>
      <c r="Y65" s="7">
        <f>+MAX(F88:F95)</f>
        <v>154.9702045276486</v>
      </c>
      <c r="Z65" s="7">
        <f>+MAX(G88:G95)</f>
        <v>125.07550630514987</v>
      </c>
      <c r="AE65" t="s">
        <v>563</v>
      </c>
      <c r="AF65" s="11" cm="1">
        <f t="array" ref="AF65">+_xll.BDP(AE65,AF$1)</f>
        <v>17.99071</v>
      </c>
      <c r="AG65" s="11" t="str" cm="1">
        <f t="array" ref="AG65">+_xll.BDP(AE65,AG$1)</f>
        <v>Consumer Staples</v>
      </c>
      <c r="AH65" s="11" t="str" cm="1">
        <f t="array" ref="AH65">+_xll.BDP(AE65,AH$1)</f>
        <v>Food</v>
      </c>
      <c r="AK65" t="s">
        <v>718</v>
      </c>
      <c r="AL65" s="11" cm="1">
        <f t="array" ref="AL65">+_xll.BDP(AK65,AL$1)</f>
        <v>27.07328</v>
      </c>
      <c r="AM65" s="11" t="str" cm="1">
        <f t="array" ref="AM65">+_xll.BDP(AK65,AM$1)</f>
        <v>Materials</v>
      </c>
      <c r="AN65" s="11" t="str" cm="1">
        <f t="array" ref="AN65">+_xll.BDP(AK65,AN$1)</f>
        <v>Metal Fabricate/Hardware</v>
      </c>
      <c r="AQ65"/>
    </row>
    <row r="66" spans="1:43" hidden="1" x14ac:dyDescent="0.25">
      <c r="V66" s="7"/>
      <c r="W66" s="7">
        <f>+MIN(D88:D95)</f>
        <v>-4.2149831276340466</v>
      </c>
      <c r="X66" s="7">
        <f>+MIN(E88:E95)</f>
        <v>-1.5885910839458819</v>
      </c>
      <c r="Y66" s="7">
        <f>+MIN(F88:F95)</f>
        <v>-8.5373943032935919</v>
      </c>
      <c r="Z66" s="7">
        <f>+MIN(G88:G95)</f>
        <v>-4.6494068298644926</v>
      </c>
      <c r="AE66" t="s">
        <v>564</v>
      </c>
      <c r="AF66" s="11" cm="1">
        <f t="array" ref="AF66">+_xll.BDP(AE66,AF$1)</f>
        <v>-20.76886</v>
      </c>
      <c r="AG66" s="11" t="str" cm="1">
        <f t="array" ref="AG66">+_xll.BDP(AE66,AG$1)</f>
        <v>Consumer Discretionary</v>
      </c>
      <c r="AH66" s="11" t="str" cm="1">
        <f t="array" ref="AH66">+_xll.BDP(AE66,AH$1)</f>
        <v>Apparel</v>
      </c>
      <c r="AK66" t="s">
        <v>719</v>
      </c>
      <c r="AL66" s="11" cm="1">
        <f t="array" ref="AL66">+_xll.BDP(AK66,AL$1)</f>
        <v>-6.3152400000000002</v>
      </c>
      <c r="AM66" s="11" t="str" cm="1">
        <f t="array" ref="AM66">+_xll.BDP(AK66,AM$1)</f>
        <v>Information Technology</v>
      </c>
      <c r="AN66" s="11" t="str" cm="1">
        <f t="array" ref="AN66">+_xll.BDP(AK66,AN$1)</f>
        <v>Office/Business Equip</v>
      </c>
      <c r="AQ66"/>
    </row>
    <row r="67" spans="1:43" x14ac:dyDescent="0.25">
      <c r="AE67" t="s">
        <v>592</v>
      </c>
      <c r="AF67" s="11" cm="1">
        <f t="array" ref="AF67">+_xll.BDP(AE67,AF$1)</f>
        <v>6.2253730000000003</v>
      </c>
      <c r="AG67" s="11" t="str" cm="1">
        <f t="array" ref="AG67">+_xll.BDP(AE67,AG$1)</f>
        <v>Industrials</v>
      </c>
      <c r="AH67" s="11" t="str" cm="1">
        <f t="array" ref="AH67">+_xll.BDP(AE67,AH$1)</f>
        <v>Commercial Services</v>
      </c>
      <c r="AK67" t="s">
        <v>778</v>
      </c>
      <c r="AL67" s="11" cm="1">
        <f t="array" ref="AL67">+_xll.BDP(AK67,AL$1)</f>
        <v>-7.2911960000000002</v>
      </c>
      <c r="AM67" s="11" t="str" cm="1">
        <f t="array" ref="AM67">+_xll.BDP(AK67,AM$1)</f>
        <v>Industrials</v>
      </c>
      <c r="AN67" s="11" t="str" cm="1">
        <f t="array" ref="AN67">+_xll.BDP(AK67,AN$1)</f>
        <v>Building Materials</v>
      </c>
      <c r="AQ67"/>
    </row>
    <row r="68" spans="1:43" x14ac:dyDescent="0.25">
      <c r="A68" s="29" t="s">
        <v>270</v>
      </c>
      <c r="B68" s="29"/>
      <c r="C68" s="29"/>
      <c r="AE68" t="s">
        <v>551</v>
      </c>
      <c r="AF68" s="11" cm="1">
        <f t="array" ref="AF68">+_xll.BDP(AE68,AF$1)</f>
        <v>35.891089999999998</v>
      </c>
      <c r="AG68" s="11" t="str" cm="1">
        <f t="array" ref="AG68">+_xll.BDP(AE68,AG$1)</f>
        <v>Real Estate</v>
      </c>
      <c r="AH68" s="11" t="str" cm="1">
        <f t="array" ref="AH68">+_xll.BDP(AE68,AH$1)</f>
        <v>REITS</v>
      </c>
      <c r="AK68" t="s">
        <v>867</v>
      </c>
      <c r="AL68" s="11" cm="1">
        <f t="array" ref="AL68">+_xll.BDP(AK68,AL$1)</f>
        <v>-16.83727</v>
      </c>
      <c r="AM68" s="11" t="str" cm="1">
        <f t="array" ref="AM68">+_xll.BDP(AK68,AM$1)</f>
        <v>Materials</v>
      </c>
      <c r="AN68" s="11" t="str" cm="1">
        <f t="array" ref="AN68">+_xll.BDP(AK68,AN$1)</f>
        <v>Chemicals</v>
      </c>
      <c r="AQ68"/>
    </row>
    <row r="69" spans="1:43" x14ac:dyDescent="0.25">
      <c r="A69" s="36" t="s">
        <v>3</v>
      </c>
      <c r="B69" s="2"/>
      <c r="C69" s="35" t="s">
        <v>355</v>
      </c>
      <c r="D69" s="35" t="s">
        <v>190</v>
      </c>
      <c r="E69" s="35" t="s">
        <v>192</v>
      </c>
      <c r="F69" s="35" t="s">
        <v>193</v>
      </c>
      <c r="G69" s="35" t="s">
        <v>191</v>
      </c>
      <c r="H69" s="78"/>
      <c r="I69" s="78"/>
      <c r="K69" s="29" t="s">
        <v>267</v>
      </c>
      <c r="L69" s="29"/>
      <c r="M69" s="29"/>
      <c r="AE69" t="s">
        <v>569</v>
      </c>
      <c r="AF69" s="11" cm="1">
        <f t="array" ref="AF69">+_xll.BDP(AE69,AF$1)</f>
        <v>-4.2447419999999996</v>
      </c>
      <c r="AG69" s="11" t="str" cm="1">
        <f t="array" ref="AG69">+_xll.BDP(AE69,AG$1)</f>
        <v>Information Technology</v>
      </c>
      <c r="AH69" s="11" t="str" cm="1">
        <f t="array" ref="AH69">+_xll.BDP(AE69,AH$1)</f>
        <v>Electronics</v>
      </c>
      <c r="AK69" t="s">
        <v>678</v>
      </c>
      <c r="AL69" s="11" cm="1">
        <f t="array" ref="AL69">+_xll.BDP(AK69,AL$1)</f>
        <v>-0.825712</v>
      </c>
      <c r="AM69" s="11" t="str" cm="1">
        <f t="array" ref="AM69">+_xll.BDP(AK69,AM$1)</f>
        <v>Industrials</v>
      </c>
      <c r="AN69" s="11" t="str" cm="1">
        <f t="array" ref="AN69">+_xll.BDP(AK69,AN$1)</f>
        <v>Building Materials</v>
      </c>
      <c r="AQ69"/>
    </row>
    <row r="70" spans="1:43" hidden="1" x14ac:dyDescent="0.25">
      <c r="A70" s="18"/>
      <c r="B70" s="18"/>
      <c r="C70" s="18" t="s">
        <v>231</v>
      </c>
      <c r="D70" s="18" t="s">
        <v>244</v>
      </c>
      <c r="E70" s="18" t="s">
        <v>245</v>
      </c>
      <c r="F70" s="18" t="s">
        <v>246</v>
      </c>
      <c r="G70" s="18" t="s">
        <v>247</v>
      </c>
      <c r="H70" s="79"/>
      <c r="I70" s="79"/>
      <c r="K70" s="36" t="s">
        <v>354</v>
      </c>
      <c r="L70" s="2"/>
      <c r="M70" s="2"/>
      <c r="N70" s="35" t="s">
        <v>189</v>
      </c>
      <c r="O70" s="35" t="s">
        <v>190</v>
      </c>
      <c r="P70" s="35" t="s">
        <v>192</v>
      </c>
      <c r="Q70" s="35" t="s">
        <v>193</v>
      </c>
      <c r="R70" s="35" t="s">
        <v>191</v>
      </c>
      <c r="AE70" t="s">
        <v>544</v>
      </c>
      <c r="AF70" s="11" cm="1">
        <f t="array" ref="AF70">+_xll.BDP(AE70,AF$1)</f>
        <v>-10.26144</v>
      </c>
      <c r="AG70" s="11" t="str" cm="1">
        <f t="array" ref="AG70">+_xll.BDP(AE70,AG$1)</f>
        <v>Consumer Discretionary</v>
      </c>
      <c r="AH70" s="11" t="str" cm="1">
        <f t="array" ref="AH70">+_xll.BDP(AE70,AH$1)</f>
        <v>Home Builders</v>
      </c>
      <c r="AK70" t="s">
        <v>834</v>
      </c>
      <c r="AL70" s="11" cm="1">
        <f t="array" ref="AL70">+_xll.BDP(AK70,AL$1)</f>
        <v>30.506209999999999</v>
      </c>
      <c r="AM70" s="11" t="str" cm="1">
        <f t="array" ref="AM70">+_xll.BDP(AK70,AM$1)</f>
        <v>Materials</v>
      </c>
      <c r="AN70" s="11" t="str" cm="1">
        <f t="array" ref="AN70">+_xll.BDP(AK70,AN$1)</f>
        <v>Mining</v>
      </c>
      <c r="AQ70"/>
    </row>
    <row r="71" spans="1:43" x14ac:dyDescent="0.25">
      <c r="A71" s="11" t="s">
        <v>356</v>
      </c>
      <c r="B71" s="11" t="s">
        <v>357</v>
      </c>
      <c r="C71" s="7">
        <f>+_xll.BDP($B71,$C$70)</f>
        <v>9.9267992833445007</v>
      </c>
      <c r="D71" s="7">
        <f>+_xll.BDP($B71,D$70)</f>
        <v>1.751058</v>
      </c>
      <c r="E71" s="7">
        <f>+_xll.BDP($B71,E$70)</f>
        <v>4.2999049999999999</v>
      </c>
      <c r="F71" s="7">
        <f>+_xll.BDP($B71,F$70)</f>
        <v>8.8080359999999995</v>
      </c>
      <c r="G71" s="7">
        <f>+_xll.BDP($B71,G$70)</f>
        <v>1.322668</v>
      </c>
      <c r="H71" s="79"/>
      <c r="I71" s="79"/>
      <c r="K71" s="18"/>
      <c r="L71" s="18"/>
      <c r="M71" s="18"/>
      <c r="N71" s="18" t="s">
        <v>186</v>
      </c>
      <c r="O71" s="18" t="s">
        <v>244</v>
      </c>
      <c r="P71" s="18" t="s">
        <v>245</v>
      </c>
      <c r="Q71" s="18" t="s">
        <v>246</v>
      </c>
      <c r="R71" s="18" t="s">
        <v>247</v>
      </c>
      <c r="AE71" t="s">
        <v>600</v>
      </c>
      <c r="AF71" s="11" cm="1">
        <f t="array" ref="AF71">+_xll.BDP(AE71,AF$1)</f>
        <v>-14.571870000000001</v>
      </c>
      <c r="AG71" s="11" t="str" cm="1">
        <f t="array" ref="AG71">+_xll.BDP(AE71,AG$1)</f>
        <v>Materials</v>
      </c>
      <c r="AH71" s="11" t="str" cm="1">
        <f t="array" ref="AH71">+_xll.BDP(AE71,AH$1)</f>
        <v>Mining</v>
      </c>
      <c r="AK71" t="s">
        <v>824</v>
      </c>
      <c r="AL71" s="11" cm="1">
        <f t="array" ref="AL71">+_xll.BDP(AK71,AL$1)</f>
        <v>-18.542000000000002</v>
      </c>
      <c r="AM71" s="11" t="str" cm="1">
        <f t="array" ref="AM71">+_xll.BDP(AK71,AM$1)</f>
        <v>Information Technology</v>
      </c>
      <c r="AN71" s="11" t="str" cm="1">
        <f t="array" ref="AN71">+_xll.BDP(AK71,AN$1)</f>
        <v>Computers</v>
      </c>
      <c r="AQ71"/>
    </row>
    <row r="72" spans="1:43" x14ac:dyDescent="0.25">
      <c r="A72" s="11" t="s">
        <v>327</v>
      </c>
      <c r="B72" s="11" t="s">
        <v>335</v>
      </c>
      <c r="C72" s="7">
        <f>+_xll.BDP($B72,$C$70)</f>
        <v>22.869502958810546</v>
      </c>
      <c r="D72" s="7">
        <f>+_xll.BDP($B72,D$70)</f>
        <v>-0.74033320000000002</v>
      </c>
      <c r="E72" s="7">
        <f>+_xll.BDP($B72,E$70)</f>
        <v>-7.2734719999999999</v>
      </c>
      <c r="F72" s="7">
        <f>+_xll.BDP($B72,F$70)</f>
        <v>2.2826080000000002</v>
      </c>
      <c r="G72" s="7">
        <f>+_xll.BDP($B72,G$70)</f>
        <v>39.990699999999997</v>
      </c>
      <c r="H72" s="79"/>
      <c r="I72" s="79"/>
      <c r="K72" s="11" t="s">
        <v>1</v>
      </c>
      <c r="L72" s="11" t="s">
        <v>262</v>
      </c>
      <c r="M72" s="8" t="s">
        <v>248</v>
      </c>
      <c r="N72" s="7">
        <f>_xll.BDP(M72,N$71)</f>
        <v>1.13629</v>
      </c>
      <c r="O72" s="7">
        <f>+_xll.BDP($L72,O$71)</f>
        <v>2.0737000000000001</v>
      </c>
      <c r="P72" s="7">
        <f>+_xll.BDP($L72,P$71)</f>
        <v>7.7675999999999998</v>
      </c>
      <c r="Q72" s="7">
        <f>+_xll.BDP($L72,Q$71)</f>
        <v>11.199199999999999</v>
      </c>
      <c r="R72" s="7">
        <f>+_xll.BDP($L72,R$71)</f>
        <v>-0.76139999999999997</v>
      </c>
      <c r="AE72" t="s">
        <v>552</v>
      </c>
      <c r="AF72" s="11" cm="1">
        <f t="array" ref="AF72">+_xll.BDP(AE72,AF$1)</f>
        <v>9.8417720000000006</v>
      </c>
      <c r="AG72" s="11" t="str" cm="1">
        <f t="array" ref="AG72">+_xll.BDP(AE72,AG$1)</f>
        <v>Consumer Discretionary</v>
      </c>
      <c r="AH72" s="11" t="str" cm="1">
        <f t="array" ref="AH72">+_xll.BDP(AE72,AH$1)</f>
        <v>Food Service</v>
      </c>
      <c r="AK72" t="s">
        <v>695</v>
      </c>
      <c r="AL72" s="11" cm="1">
        <f t="array" ref="AL72">+_xll.BDP(AK72,AL$1)</f>
        <v>40.844230000000003</v>
      </c>
      <c r="AM72" s="11" t="str" cm="1">
        <f t="array" ref="AM72">+_xll.BDP(AK72,AM$1)</f>
        <v>Information Technology</v>
      </c>
      <c r="AN72" s="11" t="str" cm="1">
        <f t="array" ref="AN72">+_xll.BDP(AK72,AN$1)</f>
        <v>Computers</v>
      </c>
      <c r="AQ72"/>
    </row>
    <row r="73" spans="1:43" x14ac:dyDescent="0.25">
      <c r="A73" s="11" t="s">
        <v>330</v>
      </c>
      <c r="B73" s="11" t="s">
        <v>338</v>
      </c>
      <c r="C73" s="7">
        <f>+_xll.BDP($B73,$C$70)</f>
        <v>12.75228131613799</v>
      </c>
      <c r="D73" s="7">
        <f>+_xll.BDP($B73,D$70)</f>
        <v>-1.943651</v>
      </c>
      <c r="E73" s="7">
        <f>+_xll.BDP($B73,E$70)</f>
        <v>-8.0929909999999996</v>
      </c>
      <c r="F73" s="7">
        <f>+_xll.BDP($B73,F$70)</f>
        <v>-4.1095439999999996</v>
      </c>
      <c r="G73" s="7">
        <f>+_xll.BDP($B73,G$70)</f>
        <v>11.904299999999999</v>
      </c>
      <c r="H73" s="79"/>
      <c r="I73" s="79"/>
      <c r="K73" s="2" t="s">
        <v>17</v>
      </c>
      <c r="L73" s="2" t="s">
        <v>358</v>
      </c>
      <c r="M73" s="13" t="s">
        <v>251</v>
      </c>
      <c r="N73" s="35">
        <f>_xll.BDP(M73,N$71)</f>
        <v>1.1735</v>
      </c>
      <c r="O73" s="35">
        <f>+_xll.BDP($L73,O$71)</f>
        <v>-0.79710000000000003</v>
      </c>
      <c r="P73" s="35">
        <f>+_xll.BDP($L73,P$71)</f>
        <v>-2.4070999999999998</v>
      </c>
      <c r="Q73" s="35">
        <f>+_xll.BDP($L73,Q$71)</f>
        <v>-1.2943</v>
      </c>
      <c r="R73" s="35">
        <f>+_xll.BDP($L73,R$71)</f>
        <v>6.5266999999999999</v>
      </c>
      <c r="AE73" t="s">
        <v>566</v>
      </c>
      <c r="AF73" s="11" cm="1">
        <f t="array" ref="AF73">+_xll.BDP(AE73,AF$1)</f>
        <v>-35.898090000000003</v>
      </c>
      <c r="AG73" s="11" t="str" cm="1">
        <f t="array" ref="AG73">+_xll.BDP(AE73,AG$1)</f>
        <v>Information Technology</v>
      </c>
      <c r="AH73" s="11" t="str" cm="1">
        <f t="array" ref="AH73">+_xll.BDP(AE73,AH$1)</f>
        <v>Software</v>
      </c>
      <c r="AK73" t="s">
        <v>813</v>
      </c>
      <c r="AL73" s="11" cm="1">
        <f t="array" ref="AL73">+_xll.BDP(AK73,AL$1)</f>
        <v>63.120170000000002</v>
      </c>
      <c r="AM73" s="11" t="str" cm="1">
        <f t="array" ref="AM73">+_xll.BDP(AK73,AM$1)</f>
        <v>Industrials</v>
      </c>
      <c r="AN73" s="11" t="str" cm="1">
        <f t="array" ref="AN73">+_xll.BDP(AK73,AN$1)</f>
        <v>Distribution/Wholesale</v>
      </c>
      <c r="AQ73"/>
    </row>
    <row r="74" spans="1:43" x14ac:dyDescent="0.25">
      <c r="A74" s="11" t="s">
        <v>336</v>
      </c>
      <c r="B74" s="11" t="s">
        <v>337</v>
      </c>
      <c r="C74" s="35">
        <f>+_xll.BDP($B74,$C$70)</f>
        <v>15.668493851495418</v>
      </c>
      <c r="D74" s="35">
        <f>+_xll.BDP($B74,D$70)</f>
        <v>-1.509506</v>
      </c>
      <c r="E74" s="35">
        <f>+_xll.BDP($B74,E$70)</f>
        <v>-9.2904280000000004</v>
      </c>
      <c r="F74" s="35">
        <f>+_xll.BDP($B74,F$70)</f>
        <v>-2.9678719999999998</v>
      </c>
      <c r="G74" s="35">
        <f>+_xll.BDP($B74,G$70)</f>
        <v>28.538540000000001</v>
      </c>
      <c r="H74" s="79"/>
      <c r="I74" s="79"/>
      <c r="K74" s="11" t="s">
        <v>196</v>
      </c>
      <c r="L74" s="11" t="s">
        <v>359</v>
      </c>
      <c r="M74" s="8" t="s">
        <v>249</v>
      </c>
      <c r="N74" s="7">
        <f>_xll.BDP(M74,N$71)</f>
        <v>6.2140000000000001E-2</v>
      </c>
      <c r="O74" s="7">
        <f>+_xll.BDP($L74,O$71)</f>
        <v>-2.0129000000000001</v>
      </c>
      <c r="P74" s="7">
        <f>+_xll.BDP($L74,P$71)</f>
        <v>-7.1802999999999999</v>
      </c>
      <c r="Q74" s="7">
        <f>+_xll.BDP($L74,Q$71)</f>
        <v>-10.0541</v>
      </c>
      <c r="R74" s="7">
        <f>+_xll.BDP($L74,R$71)</f>
        <v>0.73640000000000005</v>
      </c>
      <c r="AE74" t="s">
        <v>535</v>
      </c>
      <c r="AF74" s="11" cm="1">
        <f t="array" ref="AF74">+_xll.BDP(AE74,AF$1)</f>
        <v>-13.65273</v>
      </c>
      <c r="AG74" s="11" t="str" cm="1">
        <f t="array" ref="AG74">+_xll.BDP(AE74,AG$1)</f>
        <v>Financials</v>
      </c>
      <c r="AH74" s="11" t="str" cm="1">
        <f t="array" ref="AH74">+_xll.BDP(AE74,AH$1)</f>
        <v>Insurance</v>
      </c>
      <c r="AK74" t="s">
        <v>690</v>
      </c>
      <c r="AL74" s="11" cm="1">
        <f t="array" ref="AL74">+_xll.BDP(AK74,AL$1)</f>
        <v>-39.850749999999998</v>
      </c>
      <c r="AM74" s="11" t="str" cm="1">
        <f t="array" ref="AM74">+_xll.BDP(AK74,AM$1)</f>
        <v>Industrials</v>
      </c>
      <c r="AN74" s="11" t="str" cm="1">
        <f t="array" ref="AN74">+_xll.BDP(AK74,AN$1)</f>
        <v>Building Materials</v>
      </c>
      <c r="AQ74"/>
    </row>
    <row r="75" spans="1:43" x14ac:dyDescent="0.25">
      <c r="A75" s="37" t="s">
        <v>1</v>
      </c>
      <c r="B75" s="18"/>
      <c r="C75" s="18"/>
      <c r="D75" s="18"/>
      <c r="E75" s="18"/>
      <c r="F75" s="18"/>
      <c r="G75" s="18"/>
      <c r="H75" s="79"/>
      <c r="I75" s="79"/>
      <c r="K75" s="11" t="s">
        <v>139</v>
      </c>
      <c r="L75" s="11" t="s">
        <v>359</v>
      </c>
      <c r="M75" s="8" t="s">
        <v>249</v>
      </c>
      <c r="N75" s="7">
        <f>_xll.BDP(M75,N$71)</f>
        <v>6.2140000000000001E-2</v>
      </c>
      <c r="O75" s="7">
        <f>+_xll.BDP($L75,O$71)</f>
        <v>-2.0129000000000001</v>
      </c>
      <c r="P75" s="7">
        <f>+_xll.BDP($L75,P$71)</f>
        <v>-7.1802999999999999</v>
      </c>
      <c r="Q75" s="7">
        <f>+_xll.BDP($L75,Q$71)</f>
        <v>-10.0541</v>
      </c>
      <c r="R75" s="7">
        <f>+_xll.BDP($L75,R$71)</f>
        <v>0.73640000000000005</v>
      </c>
      <c r="AE75" t="s">
        <v>594</v>
      </c>
      <c r="AF75" s="11" cm="1">
        <f t="array" ref="AF75">+_xll.BDP(AE75,AF$1)</f>
        <v>-7.2364319999999998</v>
      </c>
      <c r="AG75" s="11" t="str" cm="1">
        <f t="array" ref="AG75">+_xll.BDP(AE75,AG$1)</f>
        <v>Industrials</v>
      </c>
      <c r="AH75" s="11" t="str" cm="1">
        <f t="array" ref="AH75">+_xll.BDP(AE75,AH$1)</f>
        <v>Oil&amp;Gas</v>
      </c>
      <c r="AK75" t="s">
        <v>795</v>
      </c>
      <c r="AL75" s="11" cm="1">
        <f t="array" ref="AL75">+_xll.BDP(AK75,AL$1)</f>
        <v>-21.783300000000001</v>
      </c>
      <c r="AM75" s="11" t="str" cm="1">
        <f t="array" ref="AM75">+_xll.BDP(AK75,AM$1)</f>
        <v>Industrials</v>
      </c>
      <c r="AN75" s="11" t="str" cm="1">
        <f t="array" ref="AN75">+_xll.BDP(AK75,AN$1)</f>
        <v>Auto Manufacturers</v>
      </c>
      <c r="AQ75"/>
    </row>
    <row r="76" spans="1:43" x14ac:dyDescent="0.25">
      <c r="A76" s="11" t="s">
        <v>328</v>
      </c>
      <c r="B76" s="11" t="s">
        <v>346</v>
      </c>
      <c r="C76" s="7">
        <f>+_xll.BDP($B76,$C$70)</f>
        <v>16.704928831251824</v>
      </c>
      <c r="D76" s="7">
        <f>+_xll.BDP($B76,D$70)</f>
        <v>0.96568399999999999</v>
      </c>
      <c r="E76" s="7">
        <f>+_xll.BDP($B76,E$70)</f>
        <v>2.3558520000000001</v>
      </c>
      <c r="F76" s="7">
        <f>+_xll.BDP($B76,F$70)</f>
        <v>8.5206379999999999</v>
      </c>
      <c r="G76" s="7">
        <f>+_xll.BDP($B76,G$70)</f>
        <v>52.631279999999997</v>
      </c>
      <c r="H76" s="79"/>
      <c r="I76" s="79"/>
      <c r="K76" s="11" t="s">
        <v>18</v>
      </c>
      <c r="L76" s="11" t="s">
        <v>359</v>
      </c>
      <c r="M76" s="8" t="s">
        <v>249</v>
      </c>
      <c r="N76" s="7">
        <f>_xll.BDP(M76,N$71)</f>
        <v>6.2140000000000001E-2</v>
      </c>
      <c r="O76" s="7">
        <f>+_xll.BDP($L76,O$71)</f>
        <v>-2.0129000000000001</v>
      </c>
      <c r="P76" s="7">
        <f>+_xll.BDP($L76,P$71)</f>
        <v>-7.1802999999999999</v>
      </c>
      <c r="Q76" s="7">
        <f>+_xll.BDP($L76,Q$71)</f>
        <v>-10.0541</v>
      </c>
      <c r="R76" s="7">
        <f>+_xll.BDP($L76,R$71)</f>
        <v>0.73640000000000005</v>
      </c>
      <c r="AE76" t="s">
        <v>512</v>
      </c>
      <c r="AF76" s="11" cm="1">
        <f t="array" ref="AF76">+_xll.BDP(AE76,AF$1)</f>
        <v>0.45234249999999998</v>
      </c>
      <c r="AG76" s="11" t="str" cm="1">
        <f t="array" ref="AG76">+_xll.BDP(AE76,AG$1)</f>
        <v>Communication Services</v>
      </c>
      <c r="AH76" s="11" t="str" cm="1">
        <f t="array" ref="AH76">+_xll.BDP(AE76,AH$1)</f>
        <v>Internet</v>
      </c>
      <c r="AK76" t="s">
        <v>806</v>
      </c>
      <c r="AL76" s="11" cm="1">
        <f t="array" ref="AL76">+_xll.BDP(AK76,AL$1)</f>
        <v>17.09797</v>
      </c>
      <c r="AM76" s="11" t="str" cm="1">
        <f t="array" ref="AM76">+_xll.BDP(AK76,AM$1)</f>
        <v>Information Technology</v>
      </c>
      <c r="AN76" s="11" t="str" cm="1">
        <f t="array" ref="AN76">+_xll.BDP(AK76,AN$1)</f>
        <v>Computers</v>
      </c>
      <c r="AQ76"/>
    </row>
    <row r="77" spans="1:43" x14ac:dyDescent="0.25">
      <c r="A77" s="11" t="s">
        <v>329</v>
      </c>
      <c r="B77" s="11" t="s">
        <v>347</v>
      </c>
      <c r="C77" s="7">
        <f>+_xll.BDP($B77,$C$70)</f>
        <v>23.108519695166251</v>
      </c>
      <c r="D77" s="7">
        <f>+_xll.BDP($B77,D$70)</f>
        <v>-6.1138389999999996</v>
      </c>
      <c r="E77" s="7">
        <f>+_xll.BDP($B77,E$70)</f>
        <v>-8.8441700000000001</v>
      </c>
      <c r="F77" s="7">
        <f>+_xll.BDP($B77,F$70)</f>
        <v>3.4659249999999999</v>
      </c>
      <c r="G77" s="7">
        <f>+_xll.BDP($B77,G$70)</f>
        <v>117.5943</v>
      </c>
      <c r="H77" s="79"/>
      <c r="I77" s="79"/>
      <c r="K77" s="11" t="s">
        <v>19</v>
      </c>
      <c r="L77" s="11" t="s">
        <v>359</v>
      </c>
      <c r="M77" s="8" t="s">
        <v>249</v>
      </c>
      <c r="N77" s="7">
        <f>_xll.BDP(M77,N$71)</f>
        <v>6.2140000000000001E-2</v>
      </c>
      <c r="O77" s="7">
        <f>+_xll.BDP($L77,O$71)</f>
        <v>-2.0129000000000001</v>
      </c>
      <c r="P77" s="7">
        <f>+_xll.BDP($L77,P$71)</f>
        <v>-7.1802999999999999</v>
      </c>
      <c r="Q77" s="7">
        <f>+_xll.BDP($L77,Q$71)</f>
        <v>-10.0541</v>
      </c>
      <c r="R77" s="7">
        <f>+_xll.BDP($L77,R$71)</f>
        <v>0.73640000000000005</v>
      </c>
      <c r="AE77" t="s">
        <v>570</v>
      </c>
      <c r="AF77" s="11" cm="1">
        <f t="array" ref="AF77">+_xll.BDP(AE77,AF$1)</f>
        <v>-2.0908709999999999</v>
      </c>
      <c r="AG77" s="11" t="str" cm="1">
        <f t="array" ref="AG77">+_xll.BDP(AE77,AG$1)</f>
        <v>Consumer Staples</v>
      </c>
      <c r="AH77" s="11" t="str" cm="1">
        <f t="array" ref="AH77">+_xll.BDP(AE77,AH$1)</f>
        <v>Food</v>
      </c>
      <c r="AK77" t="s">
        <v>665</v>
      </c>
      <c r="AL77" s="11" cm="1">
        <f t="array" ref="AL77">+_xll.BDP(AK77,AL$1)</f>
        <v>-1.3740460000000001</v>
      </c>
      <c r="AM77" s="11" t="str" cm="1">
        <f t="array" ref="AM77">+_xll.BDP(AK77,AM$1)</f>
        <v>Industrials</v>
      </c>
      <c r="AN77" s="11" t="str" cm="1">
        <f t="array" ref="AN77">+_xll.BDP(AK77,AN$1)</f>
        <v>Machinery-Constr&amp;Mining</v>
      </c>
      <c r="AQ77"/>
    </row>
    <row r="78" spans="1:43" x14ac:dyDescent="0.25">
      <c r="A78" s="11" t="s">
        <v>331</v>
      </c>
      <c r="B78" s="11" t="s">
        <v>348</v>
      </c>
      <c r="C78" s="7">
        <f>+_xll.BDP($B78,$C$70)</f>
        <v>19.625625298573016</v>
      </c>
      <c r="D78" s="7">
        <f>+_xll.BDP($B78,D$70)</f>
        <v>-3.7135630000000002</v>
      </c>
      <c r="E78" s="7">
        <f>+_xll.BDP($B78,E$70)</f>
        <v>-3.8432620000000002</v>
      </c>
      <c r="F78" s="7">
        <f>+_xll.BDP($B78,F$70)</f>
        <v>6.3932570000000002</v>
      </c>
      <c r="G78" s="7">
        <f>+_xll.BDP($B78,G$70)</f>
        <v>92.736279999999994</v>
      </c>
      <c r="H78" s="79"/>
      <c r="I78" s="79"/>
      <c r="K78" s="2" t="s">
        <v>20</v>
      </c>
      <c r="L78" s="2" t="s">
        <v>359</v>
      </c>
      <c r="M78" s="13" t="s">
        <v>249</v>
      </c>
      <c r="N78" s="35">
        <f>_xll.BDP(M78,N$71)</f>
        <v>6.2140000000000001E-2</v>
      </c>
      <c r="O78" s="35">
        <f>+_xll.BDP($L78,O$71)</f>
        <v>-2.0129000000000001</v>
      </c>
      <c r="P78" s="35">
        <f>+_xll.BDP($L78,P$71)</f>
        <v>-7.1802999999999999</v>
      </c>
      <c r="Q78" s="35">
        <f>+_xll.BDP($L78,Q$71)</f>
        <v>-10.0541</v>
      </c>
      <c r="R78" s="35">
        <f>+_xll.BDP($L78,R$71)</f>
        <v>0.73640000000000005</v>
      </c>
      <c r="AE78" t="s">
        <v>579</v>
      </c>
      <c r="AF78" s="11" cm="1">
        <f t="array" ref="AF78">+_xll.BDP(AE78,AF$1)</f>
        <v>-16.096450000000001</v>
      </c>
      <c r="AG78" s="11" t="str" cm="1">
        <f t="array" ref="AG78">+_xll.BDP(AE78,AG$1)</f>
        <v>Industrials</v>
      </c>
      <c r="AH78" s="11" t="str" cm="1">
        <f t="array" ref="AH78">+_xll.BDP(AE78,AH$1)</f>
        <v>Commercial Services</v>
      </c>
      <c r="AK78" t="s">
        <v>791</v>
      </c>
      <c r="AL78" s="11" cm="1">
        <f t="array" ref="AL78">+_xll.BDP(AK78,AL$1)</f>
        <v>-5.5535059999999996</v>
      </c>
      <c r="AM78" s="11" t="str" cm="1">
        <f t="array" ref="AM78">+_xll.BDP(AK78,AM$1)</f>
        <v>Communication Services</v>
      </c>
      <c r="AN78" s="11" t="str" cm="1">
        <f t="array" ref="AN78">+_xll.BDP(AK78,AN$1)</f>
        <v>Internet</v>
      </c>
      <c r="AQ78"/>
    </row>
    <row r="79" spans="1:43" x14ac:dyDescent="0.25">
      <c r="A79" s="2" t="s">
        <v>332</v>
      </c>
      <c r="B79" s="2" t="s">
        <v>349</v>
      </c>
      <c r="C79" s="35">
        <f>+_xll.BDP($B79,$C$70)</f>
        <v>14.348097781555317</v>
      </c>
      <c r="D79" s="35">
        <f>+_xll.BDP($B79,D$70)</f>
        <v>-3.290279</v>
      </c>
      <c r="E79" s="35">
        <f>+_xll.BDP($B79,E$70)</f>
        <v>-6.4258509999999998</v>
      </c>
      <c r="F79" s="35">
        <f>+_xll.BDP($B79,F$70)</f>
        <v>-2.5229249999999999</v>
      </c>
      <c r="G79" s="35">
        <f>+_xll.BDP($B79,G$70)</f>
        <v>53.973269999999999</v>
      </c>
      <c r="H79" s="79"/>
      <c r="I79" s="79"/>
      <c r="K79" s="11" t="s">
        <v>263</v>
      </c>
      <c r="L79" s="11" t="s">
        <v>360</v>
      </c>
      <c r="M79" s="8" t="s">
        <v>250</v>
      </c>
      <c r="N79" s="7">
        <f>_xll.BDP(M79,N$71)</f>
        <v>-0.753</v>
      </c>
      <c r="O79" s="7">
        <f>+_xll.BDP($L79,O$71)</f>
        <v>-2.2833999999999999</v>
      </c>
      <c r="P79" s="7">
        <f>+_xll.BDP($L79,P$71)</f>
        <v>-4.0746000000000002</v>
      </c>
      <c r="Q79" s="7">
        <f>+_xll.BDP($L79,Q$71)</f>
        <v>-3.9175</v>
      </c>
      <c r="R79" s="7">
        <f>+_xll.BDP($L79,R$71)</f>
        <v>4.3574000000000002</v>
      </c>
      <c r="AE79" t="s">
        <v>572</v>
      </c>
      <c r="AF79" s="11" cm="1">
        <f t="array" ref="AF79">+_xll.BDP(AE79,AF$1)</f>
        <v>15.4717</v>
      </c>
      <c r="AG79" s="11" t="str" cm="1">
        <f t="array" ref="AG79">+_xll.BDP(AE79,AG$1)</f>
        <v>Information Technology</v>
      </c>
      <c r="AH79" s="11" t="str" cm="1">
        <f t="array" ref="AH79">+_xll.BDP(AE79,AH$1)</f>
        <v>Computers</v>
      </c>
      <c r="AK79" t="s">
        <v>700</v>
      </c>
      <c r="AL79" s="11" cm="1">
        <f t="array" ref="AL79">+_xll.BDP(AK79,AL$1)</f>
        <v>-31.398669999999999</v>
      </c>
      <c r="AM79" s="11" t="str" cm="1">
        <f t="array" ref="AM79">+_xll.BDP(AK79,AM$1)</f>
        <v>Industrials</v>
      </c>
      <c r="AN79" s="11" t="str" cm="1">
        <f t="array" ref="AN79">+_xll.BDP(AK79,AN$1)</f>
        <v>Metal Fabricate/Hardware</v>
      </c>
      <c r="AQ79"/>
    </row>
    <row r="80" spans="1:43" x14ac:dyDescent="0.25">
      <c r="G80" s="7"/>
      <c r="H80" s="79"/>
      <c r="I80" s="79"/>
      <c r="K80" s="11" t="s">
        <v>5</v>
      </c>
      <c r="L80" s="11" t="s">
        <v>361</v>
      </c>
      <c r="M80" s="8" t="s">
        <v>266</v>
      </c>
      <c r="N80" s="7">
        <f>_xll.BDP(M80,N$71)</f>
        <v>1.1537999999999999</v>
      </c>
      <c r="O80" s="7">
        <f>+_xll.BDP($L80,O$71)</f>
        <v>-2.7747999999999999</v>
      </c>
      <c r="P80" s="7">
        <f>+_xll.BDP($L80,P$71)</f>
        <v>-6.2595000000000001</v>
      </c>
      <c r="Q80" s="7">
        <f>+_xll.BDP($L80,Q$71)</f>
        <v>-6.8285</v>
      </c>
      <c r="R80" s="7">
        <f>+_xll.BDP($L80,R$71)</f>
        <v>0.6008</v>
      </c>
      <c r="AE80" t="s">
        <v>537</v>
      </c>
      <c r="AF80" s="11" cm="1">
        <f t="array" ref="AF80">+_xll.BDP(AE80,AF$1)</f>
        <v>-4.1312499999999996</v>
      </c>
      <c r="AG80" s="11" t="str" cm="1">
        <f t="array" ref="AG80">+_xll.BDP(AE80,AG$1)</f>
        <v>Communication Services</v>
      </c>
      <c r="AH80" s="11" t="str" cm="1">
        <f t="array" ref="AH80">+_xll.BDP(AE80,AH$1)</f>
        <v>Telecommunications</v>
      </c>
      <c r="AK80" t="s">
        <v>802</v>
      </c>
      <c r="AL80" s="11" cm="1">
        <f t="array" ref="AL80">+_xll.BDP(AK80,AL$1)</f>
        <v>32.565280000000001</v>
      </c>
      <c r="AM80" s="11" t="str" cm="1">
        <f t="array" ref="AM80">+_xll.BDP(AK80,AM$1)</f>
        <v>Financials</v>
      </c>
      <c r="AN80" s="11" t="str" cm="1">
        <f t="array" ref="AN80">+_xll.BDP(AK80,AN$1)</f>
        <v>Insurance</v>
      </c>
      <c r="AQ80"/>
    </row>
    <row r="81" spans="1:43" x14ac:dyDescent="0.25">
      <c r="H81" s="79"/>
      <c r="I81" s="79"/>
      <c r="K81" s="2" t="s">
        <v>198</v>
      </c>
      <c r="L81" s="2" t="s">
        <v>362</v>
      </c>
      <c r="M81" s="13" t="s">
        <v>252</v>
      </c>
      <c r="N81" s="35">
        <f>_xll.BDP(M81,N$71)</f>
        <v>0.13100000000000001</v>
      </c>
      <c r="O81" s="35">
        <f>+_xll.BDP($L81,O$71)</f>
        <v>-0.73060000000000003</v>
      </c>
      <c r="P81" s="35">
        <f>+_xll.BDP($L81,P$71)</f>
        <v>-9.8595000000000006</v>
      </c>
      <c r="Q81" s="35">
        <f>+_xll.BDP($L81,Q$71)</f>
        <v>-11.363799999999999</v>
      </c>
      <c r="R81" s="35">
        <f>+_xll.BDP($L81,R$71)</f>
        <v>-5.4421999999999997</v>
      </c>
      <c r="AE81" t="s">
        <v>554</v>
      </c>
      <c r="AF81" s="11" cm="1">
        <f t="array" ref="AF81">+_xll.BDP(AE81,AF$1)</f>
        <v>-42.885579999999997</v>
      </c>
      <c r="AG81" s="11" t="str" cm="1">
        <f t="array" ref="AG81">+_xll.BDP(AE81,AG$1)</f>
        <v>Financials</v>
      </c>
      <c r="AH81" s="11" t="str" cm="1">
        <f t="array" ref="AH81">+_xll.BDP(AE81,AH$1)</f>
        <v>Diversified Finan Serv</v>
      </c>
      <c r="AK81" t="s">
        <v>871</v>
      </c>
      <c r="AL81" s="11" cm="1">
        <f t="array" ref="AL81">+_xll.BDP(AK81,AL$1)</f>
        <v>-30.619869999999999</v>
      </c>
      <c r="AM81" s="11" t="str" cm="1">
        <f t="array" ref="AM81">+_xll.BDP(AK81,AM$1)</f>
        <v>Consumer Discretionary</v>
      </c>
      <c r="AN81" s="11" t="str" cm="1">
        <f t="array" ref="AN81">+_xll.BDP(AK81,AN$1)</f>
        <v>Internet</v>
      </c>
      <c r="AQ81"/>
    </row>
    <row r="82" spans="1:43" x14ac:dyDescent="0.25">
      <c r="A82" s="36" t="s">
        <v>352</v>
      </c>
      <c r="B82" s="2"/>
      <c r="C82" s="35"/>
      <c r="D82" s="35" t="s">
        <v>190</v>
      </c>
      <c r="E82" s="35" t="s">
        <v>192</v>
      </c>
      <c r="F82" s="35" t="s">
        <v>193</v>
      </c>
      <c r="G82" s="35" t="s">
        <v>191</v>
      </c>
      <c r="H82" s="79"/>
      <c r="I82" s="79"/>
      <c r="K82" s="11" t="s">
        <v>4</v>
      </c>
      <c r="L82" s="11" t="s">
        <v>363</v>
      </c>
      <c r="M82" s="8" t="s">
        <v>254</v>
      </c>
      <c r="N82" s="7">
        <f>_xll.BDP(M82,N$71)</f>
        <v>-1.754E-2</v>
      </c>
      <c r="O82" s="7">
        <f>+_xll.BDP($L82,O$71)</f>
        <v>-5.8970000000000002</v>
      </c>
      <c r="P82" s="7">
        <f>+_xll.BDP($L82,P$71)</f>
        <v>-11.5837</v>
      </c>
      <c r="Q82" s="7">
        <f>+_xll.BDP($L82,Q$71)</f>
        <v>-15.8916</v>
      </c>
      <c r="R82" s="7">
        <f>+_xll.BDP($L82,R$71)</f>
        <v>-15.0191</v>
      </c>
      <c r="AE82" t="s">
        <v>598</v>
      </c>
      <c r="AF82" s="11" cm="1">
        <f t="array" ref="AF82">+_xll.BDP(AE82,AF$1)</f>
        <v>21.90192</v>
      </c>
      <c r="AG82" s="11" t="str" cm="1">
        <f t="array" ref="AG82">+_xll.BDP(AE82,AG$1)</f>
        <v>Utilities</v>
      </c>
      <c r="AH82" s="11" t="str" cm="1">
        <f t="array" ref="AH82">+_xll.BDP(AE82,AH$1)</f>
        <v>Electric</v>
      </c>
      <c r="AK82" t="s">
        <v>696</v>
      </c>
      <c r="AL82" s="11" cm="1">
        <f t="array" ref="AL82">+_xll.BDP(AK82,AL$1)</f>
        <v>20.20767</v>
      </c>
      <c r="AM82" s="11" t="str" cm="1">
        <f t="array" ref="AM82">+_xll.BDP(AK82,AM$1)</f>
        <v>Industrials</v>
      </c>
      <c r="AN82" s="11" t="str" cm="1">
        <f t="array" ref="AN82">+_xll.BDP(AK82,AN$1)</f>
        <v>Engineering&amp;Construction</v>
      </c>
      <c r="AQ82"/>
    </row>
    <row r="83" spans="1:43" x14ac:dyDescent="0.25">
      <c r="A83" s="11" t="s">
        <v>333</v>
      </c>
      <c r="B83" s="11" t="s">
        <v>350</v>
      </c>
      <c r="C83" s="7">
        <f>+_xll.BDP($B83,C$36)</f>
        <v>19.162590507967018</v>
      </c>
      <c r="D83" s="7">
        <f>+_xll.BDP($B83,F$36)</f>
        <v>-2.2699050000000001</v>
      </c>
      <c r="E83" s="7">
        <f>+_xll.BDP($B83,G$36)</f>
        <v>-3.4609429999999999</v>
      </c>
      <c r="F83" s="7">
        <f>+_xll.BDP($B83,H$36)</f>
        <v>3.2235170000000002</v>
      </c>
      <c r="G83" s="7">
        <f>+_xll.BDP($B83,I$36)</f>
        <v>111.67919999999999</v>
      </c>
      <c r="H83" s="79"/>
      <c r="I83" s="79"/>
      <c r="J83" s="7"/>
      <c r="K83" s="11" t="s">
        <v>16</v>
      </c>
      <c r="L83" s="11" t="s">
        <v>364</v>
      </c>
      <c r="M83" s="8" t="s">
        <v>255</v>
      </c>
      <c r="N83" s="7">
        <f>_xll.BDP(M83,N$71)</f>
        <v>2.9569999999999999</v>
      </c>
      <c r="O83" s="7">
        <f>+_xll.BDP($L83,O$71)</f>
        <v>-2.2222</v>
      </c>
      <c r="P83" s="7">
        <f>+_xll.BDP($L83,P$71)</f>
        <v>-2.1698</v>
      </c>
      <c r="Q83" s="7">
        <f>+_xll.BDP($L83,Q$71)</f>
        <v>-5.2290000000000001</v>
      </c>
      <c r="R83" s="7">
        <f>+_xll.BDP($L83,R$71)</f>
        <v>-3.1427999999999998</v>
      </c>
      <c r="AE83" t="s">
        <v>511</v>
      </c>
      <c r="AF83" s="11" cm="1">
        <f t="array" ref="AF83">+_xll.BDP(AE83,AF$1)</f>
        <v>7.7694260000000002</v>
      </c>
      <c r="AG83" s="11" t="str" cm="1">
        <f t="array" ref="AG83">+_xll.BDP(AE83,AG$1)</f>
        <v>Financials</v>
      </c>
      <c r="AH83" s="11" t="str" cm="1">
        <f t="array" ref="AH83">+_xll.BDP(AE83,AH$1)</f>
        <v>Banks</v>
      </c>
      <c r="AK83" t="s">
        <v>698</v>
      </c>
      <c r="AL83" s="11" cm="1">
        <f t="array" ref="AL83">+_xll.BDP(AK83,AL$1)</f>
        <v>-2.381818</v>
      </c>
      <c r="AM83" s="11" t="str" cm="1">
        <f t="array" ref="AM83">+_xll.BDP(AK83,AM$1)</f>
        <v>Consumer Discretionary</v>
      </c>
      <c r="AN83" s="11" t="str" cm="1">
        <f t="array" ref="AN83">+_xll.BDP(AK83,AN$1)</f>
        <v>Auto Manufacturers</v>
      </c>
      <c r="AQ83"/>
    </row>
    <row r="84" spans="1:43" x14ac:dyDescent="0.25">
      <c r="A84" s="2" t="s">
        <v>334</v>
      </c>
      <c r="B84" s="2" t="s">
        <v>351</v>
      </c>
      <c r="C84" s="35" t="s">
        <v>921</v>
      </c>
      <c r="D84" s="35">
        <f>+_xll.BDP($B84,F$36)</f>
        <v>2.4847410000000001</v>
      </c>
      <c r="E84" s="35">
        <f>+_xll.BDP($B84,G$36)</f>
        <v>52.365519999999997</v>
      </c>
      <c r="F84" s="35">
        <f>+_xll.BDP($B84,H$36)</f>
        <v>25.65474</v>
      </c>
      <c r="G84" s="35">
        <f>+_xll.BDP($B84,I$36)</f>
        <v>60.697200000000002</v>
      </c>
      <c r="H84" s="79"/>
      <c r="I84" s="79"/>
      <c r="K84" s="11" t="s">
        <v>197</v>
      </c>
      <c r="L84" s="11" t="s">
        <v>365</v>
      </c>
      <c r="M84" s="8" t="s">
        <v>253</v>
      </c>
      <c r="N84" s="7">
        <f>_xll.BDP(M84,N$71)</f>
        <v>2.83</v>
      </c>
      <c r="O84" s="7">
        <f>+_xll.BDP($L84,O$71)</f>
        <v>-4.1356000000000002</v>
      </c>
      <c r="P84" s="7">
        <f>+_xll.BDP($L84,P$71)</f>
        <v>-6.7206999999999999</v>
      </c>
      <c r="Q84" s="7">
        <f>+_xll.BDP($L84,Q$71)</f>
        <v>-6.9157999999999999</v>
      </c>
      <c r="R84" s="7">
        <f>+_xll.BDP($L84,R$71)</f>
        <v>-4.9273999999999996</v>
      </c>
      <c r="AE84" t="s">
        <v>593</v>
      </c>
      <c r="AF84" s="11" cm="1">
        <f t="array" ref="AF84">+_xll.BDP(AE84,AF$1)</f>
        <v>13.752520000000001</v>
      </c>
      <c r="AG84" s="11" t="str" cm="1">
        <f t="array" ref="AG84">+_xll.BDP(AE84,AG$1)</f>
        <v>Consumer Staples</v>
      </c>
      <c r="AH84" s="11" t="str" cm="1">
        <f t="array" ref="AH84">+_xll.BDP(AE84,AH$1)</f>
        <v>Agriculture</v>
      </c>
      <c r="AK84" t="s">
        <v>833</v>
      </c>
      <c r="AL84" s="11" cm="1">
        <f t="array" ref="AL84">+_xll.BDP(AK84,AL$1)</f>
        <v>39.16968</v>
      </c>
      <c r="AM84" s="11" t="str" cm="1">
        <f t="array" ref="AM84">+_xll.BDP(AK84,AM$1)</f>
        <v>Consumer Discretionary</v>
      </c>
      <c r="AN84" s="11" t="str" cm="1">
        <f t="array" ref="AN84">+_xll.BDP(AK84,AN$1)</f>
        <v>Auto Manufacturers</v>
      </c>
      <c r="AQ84"/>
    </row>
    <row r="85" spans="1:43" x14ac:dyDescent="0.25">
      <c r="K85" s="2" t="s">
        <v>218</v>
      </c>
      <c r="L85" s="2" t="s">
        <v>366</v>
      </c>
      <c r="M85" s="13" t="s">
        <v>256</v>
      </c>
      <c r="N85" s="35">
        <f>_xll.BDP(M85,N$71)</f>
        <v>1.6600000000000001</v>
      </c>
      <c r="O85" s="35">
        <f>+_xll.BDP($L85,O$71)</f>
        <v>-1.6465000000000001</v>
      </c>
      <c r="P85" s="35">
        <f>+_xll.BDP($L85,P$71)</f>
        <v>-5</v>
      </c>
      <c r="Q85" s="35">
        <f>+_xll.BDP($L85,Q$71)</f>
        <v>-9.8143999999999991</v>
      </c>
      <c r="R85" s="35">
        <f>+_xll.BDP($L85,R$71)</f>
        <v>-8.4504000000000001</v>
      </c>
      <c r="AE85" t="s">
        <v>589</v>
      </c>
      <c r="AF85" s="11" cm="1">
        <f t="array" ref="AF85">+_xll.BDP(AE85,AF$1)</f>
        <v>-16.659829999999999</v>
      </c>
      <c r="AG85" s="11" t="str" cm="1">
        <f t="array" ref="AG85">+_xll.BDP(AE85,AG$1)</f>
        <v>Health Care</v>
      </c>
      <c r="AH85" s="11" t="str" cm="1">
        <f t="array" ref="AH85">+_xll.BDP(AE85,AH$1)</f>
        <v>Pharmaceuticals</v>
      </c>
      <c r="AK85" t="s">
        <v>831</v>
      </c>
      <c r="AL85" s="11" cm="1">
        <f t="array" ref="AL85">+_xll.BDP(AK85,AL$1)</f>
        <v>-10.951599999999999</v>
      </c>
      <c r="AM85" s="11" t="str" cm="1">
        <f t="array" ref="AM85">+_xll.BDP(AK85,AM$1)</f>
        <v>Materials</v>
      </c>
      <c r="AN85" s="11" t="str" cm="1">
        <f t="array" ref="AN85">+_xll.BDP(AK85,AN$1)</f>
        <v>Chemicals</v>
      </c>
      <c r="AQ85"/>
    </row>
    <row r="86" spans="1:43" x14ac:dyDescent="0.25">
      <c r="M86" s="8"/>
      <c r="N86" s="7"/>
      <c r="O86" s="7"/>
      <c r="P86" s="7"/>
      <c r="Q86" s="7"/>
      <c r="R86" s="7"/>
      <c r="AE86" t="s">
        <v>576</v>
      </c>
      <c r="AF86" s="11" cm="1">
        <f t="array" ref="AF86">+_xll.BDP(AE86,AF$1)</f>
        <v>-72.718590000000006</v>
      </c>
      <c r="AG86" s="11" t="str" cm="1">
        <f t="array" ref="AG86">+_xll.BDP(AE86,AG$1)</f>
        <v>Consumer Discretionary</v>
      </c>
      <c r="AH86" s="11" t="str" cm="1">
        <f t="array" ref="AH86">+_xll.BDP(AE86,AH$1)</f>
        <v>Internet</v>
      </c>
      <c r="AK86" t="s">
        <v>794</v>
      </c>
      <c r="AL86" s="11" t="str" cm="1">
        <f t="array" ref="AL86">+_xll.BDP(AK86,AL$1)</f>
        <v>#N/A N/A</v>
      </c>
      <c r="AM86" s="11" t="str" cm="1">
        <f t="array" ref="AM86">+_xll.BDP(AK86,AM$1)</f>
        <v>Industrials</v>
      </c>
      <c r="AN86" s="11" t="str" cm="1">
        <f t="array" ref="AN86">+_xll.BDP(AK86,AN$1)</f>
        <v>Transportation</v>
      </c>
      <c r="AQ86"/>
    </row>
    <row r="87" spans="1:43" x14ac:dyDescent="0.25">
      <c r="A87" s="36" t="s">
        <v>339</v>
      </c>
      <c r="B87" s="2"/>
      <c r="C87" s="35"/>
      <c r="D87" s="35" t="s">
        <v>190</v>
      </c>
      <c r="E87" s="35" t="s">
        <v>192</v>
      </c>
      <c r="F87" s="35" t="s">
        <v>193</v>
      </c>
      <c r="G87" s="35" t="s">
        <v>191</v>
      </c>
      <c r="J87" s="7"/>
      <c r="K87" s="36" t="s">
        <v>353</v>
      </c>
      <c r="L87" s="2"/>
      <c r="M87" s="13"/>
      <c r="N87" s="35" t="s">
        <v>189</v>
      </c>
      <c r="O87" s="35" t="s">
        <v>190</v>
      </c>
      <c r="P87" s="35" t="s">
        <v>192</v>
      </c>
      <c r="Q87" s="35" t="s">
        <v>193</v>
      </c>
      <c r="R87" s="35" t="s">
        <v>191</v>
      </c>
      <c r="AE87" t="s">
        <v>571</v>
      </c>
      <c r="AF87" s="11" t="str" cm="1">
        <f t="array" ref="AF87">+_xll.BDP(AE87,AF$1)</f>
        <v>#N/A N/A</v>
      </c>
      <c r="AG87" s="11" t="str" cm="1">
        <f t="array" ref="AG87">+_xll.BDP(AE87,AG$1)</f>
        <v>Energy</v>
      </c>
      <c r="AH87" s="11" t="str" cm="1">
        <f t="array" ref="AH87">+_xll.BDP(AE87,AH$1)</f>
        <v>Oil&amp;Gas</v>
      </c>
      <c r="AK87" t="s">
        <v>830</v>
      </c>
      <c r="AL87" s="11" cm="1">
        <f t="array" ref="AL87">+_xll.BDP(AK87,AL$1)</f>
        <v>7.6693230000000003</v>
      </c>
      <c r="AM87" s="11" t="str" cm="1">
        <f t="array" ref="AM87">+_xll.BDP(AK87,AM$1)</f>
        <v>Information Technology</v>
      </c>
      <c r="AN87" s="11" t="str" cm="1">
        <f t="array" ref="AN87">+_xll.BDP(AK87,AN$1)</f>
        <v>Electronics</v>
      </c>
      <c r="AQ87"/>
    </row>
    <row r="88" spans="1:43" x14ac:dyDescent="0.25">
      <c r="A88" s="11" t="s">
        <v>170</v>
      </c>
      <c r="B88" s="11" t="s">
        <v>158</v>
      </c>
      <c r="C88" s="7" t="s">
        <v>921</v>
      </c>
      <c r="D88" s="7">
        <f>+_xll.BDP($B88,D$70)</f>
        <v>-4.2149831276340466</v>
      </c>
      <c r="E88" s="7">
        <f>+_xll.BDP($B88,E$70)</f>
        <v>32.082384897793347</v>
      </c>
      <c r="F88" s="7">
        <f>+_xll.BDP($B88,F$70)</f>
        <v>85.729211637279491</v>
      </c>
      <c r="G88" s="7">
        <f>+_xll.BDP($B88,G$70)</f>
        <v>26.701219260456689</v>
      </c>
      <c r="K88" s="11" t="s">
        <v>194</v>
      </c>
      <c r="L88" s="11" t="s">
        <v>367</v>
      </c>
      <c r="M88" s="8" t="s">
        <v>257</v>
      </c>
      <c r="N88" s="7">
        <f>_xll.BDP(M88,N$71)</f>
        <v>11.65</v>
      </c>
      <c r="O88" s="7">
        <f>+_xll.BDP($L88,O$71)</f>
        <v>6.7912999999999997</v>
      </c>
      <c r="P88" s="7">
        <f>+_xll.BDP($L88,P$71)</f>
        <v>21.118099999999998</v>
      </c>
      <c r="Q88" s="7">
        <f>+_xll.BDP($L88,Q$71)</f>
        <v>20.451699999999999</v>
      </c>
      <c r="R88" s="7">
        <f>+_xll.BDP($L88,R$71)</f>
        <v>-31.892399999999999</v>
      </c>
      <c r="AE88" t="s">
        <v>573</v>
      </c>
      <c r="AF88" s="11" cm="1">
        <f t="array" ref="AF88">+_xll.BDP(AE88,AF$1)</f>
        <v>-0.50523280000000004</v>
      </c>
      <c r="AG88" s="11" t="str" cm="1">
        <f t="array" ref="AG88">+_xll.BDP(AE88,AG$1)</f>
        <v>Industrials</v>
      </c>
      <c r="AH88" s="11" t="str" cm="1">
        <f t="array" ref="AH88">+_xll.BDP(AE88,AH$1)</f>
        <v>Commercial Services</v>
      </c>
      <c r="AK88" t="s">
        <v>756</v>
      </c>
      <c r="AL88" s="11" cm="1">
        <f t="array" ref="AL88">+_xll.BDP(AK88,AL$1)</f>
        <v>-5.6782329999999996</v>
      </c>
      <c r="AM88" s="11" t="str" cm="1">
        <f t="array" ref="AM88">+_xll.BDP(AK88,AM$1)</f>
        <v>Industrials</v>
      </c>
      <c r="AN88" s="11" t="str" cm="1">
        <f t="array" ref="AN88">+_xll.BDP(AK88,AN$1)</f>
        <v>Transportation</v>
      </c>
      <c r="AQ88"/>
    </row>
    <row r="89" spans="1:43" x14ac:dyDescent="0.25">
      <c r="A89" s="11" t="s">
        <v>340</v>
      </c>
      <c r="B89" s="11" t="s">
        <v>159</v>
      </c>
      <c r="C89" s="7" t="s">
        <v>921</v>
      </c>
      <c r="D89" s="7">
        <f>+_xll.BDP($B89,D$70)</f>
        <v>0.37369595681735845</v>
      </c>
      <c r="E89" s="7">
        <f>+_xll.BDP($B89,E$70)</f>
        <v>7.2253258341536117</v>
      </c>
      <c r="F89" s="7">
        <f>+_xll.BDP($B89,F$70)</f>
        <v>7.6944758072974615</v>
      </c>
      <c r="G89" s="7">
        <f>+_xll.BDP($B89,G$70)</f>
        <v>35.6281160911049</v>
      </c>
      <c r="K89" s="11" t="s">
        <v>195</v>
      </c>
      <c r="L89" s="11" t="s">
        <v>368</v>
      </c>
      <c r="M89" s="8" t="s">
        <v>258</v>
      </c>
      <c r="N89" s="7">
        <f>_xll.BDP(M89,N$71)</f>
        <v>6.5</v>
      </c>
      <c r="O89" s="7">
        <f>+_xll.BDP($L89,O$71)</f>
        <v>-0.35570000000000002</v>
      </c>
      <c r="P89" s="7">
        <f>+_xll.BDP($L89,P$71)</f>
        <v>-0.85340000000000005</v>
      </c>
      <c r="Q89" s="7">
        <f>+_xll.BDP($L89,Q$71)</f>
        <v>-2.0695000000000001</v>
      </c>
      <c r="R89" s="7">
        <f>+_xll.BDP($L89,R$71)</f>
        <v>-7.5739000000000001</v>
      </c>
      <c r="AE89" t="s">
        <v>595</v>
      </c>
      <c r="AF89" s="11" cm="1">
        <f t="array" ref="AF89">+_xll.BDP(AE89,AF$1)</f>
        <v>23.131609999999998</v>
      </c>
      <c r="AG89" s="11" t="str" cm="1">
        <f t="array" ref="AG89">+_xll.BDP(AE89,AG$1)</f>
        <v>Consumer Staples</v>
      </c>
      <c r="AH89" s="11" t="str" cm="1">
        <f t="array" ref="AH89">+_xll.BDP(AE89,AH$1)</f>
        <v>Agriculture</v>
      </c>
      <c r="AK89" t="s">
        <v>826</v>
      </c>
      <c r="AL89" s="11" cm="1">
        <f t="array" ref="AL89">+_xll.BDP(AK89,AL$1)</f>
        <v>-11.2844</v>
      </c>
      <c r="AM89" s="11" t="str" cm="1">
        <f t="array" ref="AM89">+_xll.BDP(AK89,AM$1)</f>
        <v>Information Technology</v>
      </c>
      <c r="AN89" s="11" t="str" cm="1">
        <f t="array" ref="AN89">+_xll.BDP(AK89,AN$1)</f>
        <v>Machinery-Diversified</v>
      </c>
      <c r="AQ89"/>
    </row>
    <row r="90" spans="1:43" x14ac:dyDescent="0.25">
      <c r="A90" s="11" t="s">
        <v>341</v>
      </c>
      <c r="B90" s="11" t="s">
        <v>160</v>
      </c>
      <c r="C90" s="7" t="s">
        <v>921</v>
      </c>
      <c r="D90" s="7">
        <f>+_xll.BDP($B90,D$70)</f>
        <v>-3.0658986304481504</v>
      </c>
      <c r="E90" s="7">
        <f>+_xll.BDP($B90,E$70)</f>
        <v>-1.5885910839458819</v>
      </c>
      <c r="F90" s="7">
        <f>+_xll.BDP($B90,F$70)</f>
        <v>-8.5373943032935919</v>
      </c>
      <c r="G90" s="7">
        <f>+_xll.BDP($B90,G$70)</f>
        <v>19.794470195924909</v>
      </c>
      <c r="K90" s="11" t="s">
        <v>264</v>
      </c>
      <c r="L90" s="11" t="s">
        <v>369</v>
      </c>
      <c r="M90" s="8" t="s">
        <v>259</v>
      </c>
      <c r="N90" s="7">
        <f>_xll.BDP(M90,N$71)</f>
        <v>2.3050000000000002</v>
      </c>
      <c r="O90" s="7">
        <f>+_xll.BDP($L90,O$71)</f>
        <v>-2.0901000000000001</v>
      </c>
      <c r="P90" s="7">
        <f>+_xll.BDP($L90,P$71)</f>
        <v>-1.8025</v>
      </c>
      <c r="Q90" s="7">
        <f>+_xll.BDP($L90,Q$71)</f>
        <v>-0.18609999999999999</v>
      </c>
      <c r="R90" s="7">
        <f>+_xll.BDP($L90,R$71)</f>
        <v>5.9010999999999996</v>
      </c>
      <c r="AE90" t="s">
        <v>583</v>
      </c>
      <c r="AF90" s="11" cm="1">
        <f t="array" ref="AF90">+_xll.BDP(AE90,AF$1)</f>
        <v>23.745819999999998</v>
      </c>
      <c r="AG90" s="11" t="str" cm="1">
        <f t="array" ref="AG90">+_xll.BDP(AE90,AG$1)</f>
        <v>Industrials</v>
      </c>
      <c r="AH90" s="11" t="str" cm="1">
        <f t="array" ref="AH90">+_xll.BDP(AE90,AH$1)</f>
        <v>Commercial Services</v>
      </c>
      <c r="AK90" t="s">
        <v>816</v>
      </c>
      <c r="AL90" s="11" cm="1">
        <f t="array" ref="AL90">+_xll.BDP(AK90,AL$1)</f>
        <v>14.65666</v>
      </c>
      <c r="AM90" s="11" t="str" cm="1">
        <f t="array" ref="AM90">+_xll.BDP(AK90,AM$1)</f>
        <v>Industrials</v>
      </c>
      <c r="AN90" s="11" t="str" cm="1">
        <f t="array" ref="AN90">+_xll.BDP(AK90,AN$1)</f>
        <v>Distribution/Wholesale</v>
      </c>
      <c r="AQ90"/>
    </row>
    <row r="91" spans="1:43" x14ac:dyDescent="0.25">
      <c r="A91" s="11" t="s">
        <v>342</v>
      </c>
      <c r="B91" s="11" t="s">
        <v>161</v>
      </c>
      <c r="C91" s="7" t="s">
        <v>921</v>
      </c>
      <c r="D91" s="7">
        <f>+_xll.BDP($B91,D$70)</f>
        <v>-0.78662267195921864</v>
      </c>
      <c r="E91" s="7">
        <f>+_xll.BDP($B91,E$70)</f>
        <v>4.6957729872709608</v>
      </c>
      <c r="F91" s="7">
        <f>+_xll.BDP($B91,F$70)</f>
        <v>10.168571637828057</v>
      </c>
      <c r="G91" s="7">
        <f>+_xll.BDP($B91,G$70)</f>
        <v>69.549349643700182</v>
      </c>
      <c r="K91" s="11" t="s">
        <v>199</v>
      </c>
      <c r="L91" s="11" t="s">
        <v>370</v>
      </c>
      <c r="M91" s="8" t="s">
        <v>260</v>
      </c>
      <c r="N91" s="7">
        <f>_xll.BDP(M91,N$71)</f>
        <v>4.25</v>
      </c>
      <c r="O91" s="7">
        <f>+_xll.BDP($L91,O$71)</f>
        <v>-0.39069999999999999</v>
      </c>
      <c r="P91" s="7">
        <f>+_xll.BDP($L91,P$71)</f>
        <v>-2.0771000000000002</v>
      </c>
      <c r="Q91" s="7">
        <f>+_xll.BDP($L91,Q$71)</f>
        <v>-2.0004</v>
      </c>
      <c r="R91" s="7">
        <f>+_xll.BDP($L91,R$71)</f>
        <v>-15.5242</v>
      </c>
      <c r="AE91" t="s">
        <v>590</v>
      </c>
      <c r="AF91" s="11" t="str" cm="1">
        <f t="array" ref="AF91">+_xll.BDP(AE91,AF$1)</f>
        <v>#N/A N/A</v>
      </c>
      <c r="AG91" s="11" t="str" cm="1">
        <f t="array" ref="AG91">+_xll.BDP(AE91,AG$1)</f>
        <v>Consumer Staples</v>
      </c>
      <c r="AH91" s="11" t="str" cm="1">
        <f t="array" ref="AH91">+_xll.BDP(AE91,AH$1)</f>
        <v>Household Products/Wares</v>
      </c>
      <c r="AK91" t="s">
        <v>675</v>
      </c>
      <c r="AL91" s="11" cm="1">
        <f t="array" ref="AL91">+_xll.BDP(AK91,AL$1)</f>
        <v>14.08892</v>
      </c>
      <c r="AM91" s="11" t="str" cm="1">
        <f t="array" ref="AM91">+_xll.BDP(AK91,AM$1)</f>
        <v>Real Estate</v>
      </c>
      <c r="AN91" s="11" t="str" cm="1">
        <f t="array" ref="AN91">+_xll.BDP(AK91,AN$1)</f>
        <v>Real Estate</v>
      </c>
      <c r="AQ91"/>
    </row>
    <row r="92" spans="1:43" x14ac:dyDescent="0.25">
      <c r="A92" s="11" t="s">
        <v>162</v>
      </c>
      <c r="B92" s="11" t="s">
        <v>162</v>
      </c>
      <c r="C92" s="7" t="s">
        <v>921</v>
      </c>
      <c r="D92" s="7">
        <f>+_xll.BDP($B92,D$70)</f>
        <v>4.6511100610954204</v>
      </c>
      <c r="E92" s="7">
        <f>+_xll.BDP($B92,E$70)</f>
        <v>60.480163814103726</v>
      </c>
      <c r="F92" s="7">
        <f>+_xll.BDP($B92,F$70)</f>
        <v>118.61357738179447</v>
      </c>
      <c r="G92" s="7">
        <f>+_xll.BDP($B92,G$70)</f>
        <v>125.07550630514987</v>
      </c>
      <c r="K92" s="11" t="s">
        <v>184</v>
      </c>
      <c r="L92" s="11" t="s">
        <v>359</v>
      </c>
      <c r="M92" s="8" t="s">
        <v>249</v>
      </c>
      <c r="N92" s="7">
        <f>_xll.BDP(M92,N$71)</f>
        <v>6.2140000000000001E-2</v>
      </c>
      <c r="O92" s="7">
        <f>+_xll.BDP($L92,O$71)</f>
        <v>-2.0129000000000001</v>
      </c>
      <c r="P92" s="7">
        <f>+_xll.BDP($L92,P$71)</f>
        <v>-7.1802999999999999</v>
      </c>
      <c r="Q92" s="7">
        <f>+_xll.BDP($L92,Q$71)</f>
        <v>-10.0541</v>
      </c>
      <c r="R92" s="7">
        <f>+_xll.BDP($L92,R$71)</f>
        <v>0.73640000000000005</v>
      </c>
      <c r="AE92" t="s">
        <v>587</v>
      </c>
      <c r="AF92" s="11" cm="1">
        <f t="array" ref="AF92">+_xll.BDP(AE92,AF$1)</f>
        <v>34.471519999999998</v>
      </c>
      <c r="AG92" s="11" t="str" cm="1">
        <f t="array" ref="AG92">+_xll.BDP(AE92,AG$1)</f>
        <v>Health Care</v>
      </c>
      <c r="AH92" s="11" t="str" cm="1">
        <f t="array" ref="AH92">+_xll.BDP(AE92,AH$1)</f>
        <v>Pharmaceuticals</v>
      </c>
      <c r="AK92" t="s">
        <v>731</v>
      </c>
      <c r="AL92" s="11" cm="1">
        <f t="array" ref="AL92">+_xll.BDP(AK92,AL$1)</f>
        <v>5.9265809999999997</v>
      </c>
      <c r="AM92" s="11" t="str" cm="1">
        <f t="array" ref="AM92">+_xll.BDP(AK92,AM$1)</f>
        <v>Health Care</v>
      </c>
      <c r="AN92" s="11" t="str" cm="1">
        <f t="array" ref="AN92">+_xll.BDP(AK92,AN$1)</f>
        <v>Healthcare-Products</v>
      </c>
      <c r="AQ92"/>
    </row>
    <row r="93" spans="1:43" x14ac:dyDescent="0.25">
      <c r="A93" s="11" t="s">
        <v>343</v>
      </c>
      <c r="B93" s="11" t="s">
        <v>163</v>
      </c>
      <c r="C93" s="7" t="s">
        <v>921</v>
      </c>
      <c r="D93" s="7">
        <f>+_xll.BDP($B93,D$70)</f>
        <v>35.644881637724616</v>
      </c>
      <c r="E93" s="7">
        <f>+_xll.BDP($B93,E$70)</f>
        <v>38.369405693603795</v>
      </c>
      <c r="F93" s="7">
        <f>+_xll.BDP($B93,F$70)</f>
        <v>154.9702045276486</v>
      </c>
      <c r="G93" s="7">
        <f>+_xll.BDP($B93,G$70)</f>
        <v>-4.6494068298644926</v>
      </c>
      <c r="K93" s="2" t="s">
        <v>200</v>
      </c>
      <c r="L93" s="2" t="s">
        <v>371</v>
      </c>
      <c r="M93" s="13" t="s">
        <v>261</v>
      </c>
      <c r="N93" s="35">
        <f>_xll.BDP(M93,N$71)</f>
        <v>16.239999999999998</v>
      </c>
      <c r="O93" s="35">
        <f>+_xll.BDP($L93,O$71)</f>
        <v>-36.794699999999999</v>
      </c>
      <c r="P93" s="35">
        <f>+_xll.BDP($L93,P$71)</f>
        <v>-38.3294</v>
      </c>
      <c r="Q93" s="35">
        <f>+_xll.BDP($L93,Q$71)</f>
        <v>-37.986199999999997</v>
      </c>
      <c r="R93" s="35">
        <f>+_xll.BDP($L93,R$71)</f>
        <v>-50.295699999999997</v>
      </c>
      <c r="AE93" t="s">
        <v>588</v>
      </c>
      <c r="AF93" s="11" cm="1">
        <f t="array" ref="AF93">+_xll.BDP(AE93,AF$1)</f>
        <v>-83.175280000000001</v>
      </c>
      <c r="AG93" s="11" t="str" cm="1">
        <f t="array" ref="AG93">+_xll.BDP(AE93,AG$1)</f>
        <v>Materials</v>
      </c>
      <c r="AH93" s="11" t="str" cm="1">
        <f t="array" ref="AH93">+_xll.BDP(AE93,AH$1)</f>
        <v>Mining</v>
      </c>
      <c r="AK93" t="s">
        <v>781</v>
      </c>
      <c r="AL93" s="11" cm="1">
        <f t="array" ref="AL93">+_xll.BDP(AK93,AL$1)</f>
        <v>-12.70998</v>
      </c>
      <c r="AM93" s="11" t="str" cm="1">
        <f t="array" ref="AM93">+_xll.BDP(AK93,AM$1)</f>
        <v>Industrials</v>
      </c>
      <c r="AN93" s="11" t="str" cm="1">
        <f t="array" ref="AN93">+_xll.BDP(AK93,AN$1)</f>
        <v>Machinery-Diversified</v>
      </c>
      <c r="AQ93"/>
    </row>
    <row r="94" spans="1:43" x14ac:dyDescent="0.25">
      <c r="A94" s="11" t="s">
        <v>344</v>
      </c>
      <c r="B94" s="11" t="s">
        <v>164</v>
      </c>
      <c r="C94" s="7" t="s">
        <v>921</v>
      </c>
      <c r="D94" s="7">
        <f>+_xll.BDP($B94,D$70)</f>
        <v>8.5303186022610493</v>
      </c>
      <c r="E94" s="7">
        <f>+_xll.BDP($B94,E$70)</f>
        <v>50.344404520890976</v>
      </c>
      <c r="F94" s="7">
        <f>+_xll.BDP($B94,F$70)</f>
        <v>49.075421072467762</v>
      </c>
      <c r="G94" s="7">
        <f>+_xll.BDP($B94,G$70)</f>
        <v>70.906293095416288</v>
      </c>
      <c r="AE94" t="s">
        <v>578</v>
      </c>
      <c r="AF94" s="11" cm="1">
        <f t="array" ref="AF94">+_xll.BDP(AE94,AF$1)</f>
        <v>-14.583080000000001</v>
      </c>
      <c r="AG94" s="11" t="str" cm="1">
        <f t="array" ref="AG94">+_xll.BDP(AE94,AG$1)</f>
        <v>Consumer Staples</v>
      </c>
      <c r="AH94" s="11" t="str" cm="1">
        <f t="array" ref="AH94">+_xll.BDP(AE94,AH$1)</f>
        <v>Cosmetics/Personal Care</v>
      </c>
      <c r="AK94" t="s">
        <v>783</v>
      </c>
      <c r="AL94" s="11" cm="1">
        <f t="array" ref="AL94">+_xll.BDP(AK94,AL$1)</f>
        <v>-26.25563</v>
      </c>
      <c r="AM94" s="11" t="str" cm="1">
        <f t="array" ref="AM94">+_xll.BDP(AK94,AM$1)</f>
        <v>Industrials</v>
      </c>
      <c r="AN94" s="11" t="str" cm="1">
        <f t="array" ref="AN94">+_xll.BDP(AK94,AN$1)</f>
        <v>Electrical Compo&amp;Equip</v>
      </c>
      <c r="AQ94"/>
    </row>
    <row r="95" spans="1:43" x14ac:dyDescent="0.25">
      <c r="A95" s="2" t="s">
        <v>345</v>
      </c>
      <c r="B95" s="2" t="s">
        <v>165</v>
      </c>
      <c r="C95" s="35" t="s">
        <v>921</v>
      </c>
      <c r="D95" s="35">
        <f>+_xll.BDP($B95,D$70)</f>
        <v>-3.3605812897366025</v>
      </c>
      <c r="E95" s="35">
        <f>+_xll.BDP($B95,E$70)</f>
        <v>41.047221042888829</v>
      </c>
      <c r="F95" s="35">
        <f>+_xll.BDP($B95,F$70)</f>
        <v>48.457525412005289</v>
      </c>
      <c r="G95" s="35">
        <f>+_xll.BDP($B95,G$70)</f>
        <v>68.393596678661211</v>
      </c>
      <c r="AE95" t="s">
        <v>533</v>
      </c>
      <c r="AF95" s="11" cm="1">
        <f t="array" ref="AF95">+_xll.BDP(AE95,AF$1)</f>
        <v>49.269860000000001</v>
      </c>
      <c r="AG95" s="11" t="str" cm="1">
        <f t="array" ref="AG95">+_xll.BDP(AE95,AG$1)</f>
        <v>Industrials</v>
      </c>
      <c r="AH95" s="11" t="str" cm="1">
        <f t="array" ref="AH95">+_xll.BDP(AE95,AH$1)</f>
        <v>Aerospace/Defense</v>
      </c>
      <c r="AK95" t="s">
        <v>670</v>
      </c>
      <c r="AL95" s="11" cm="1">
        <f t="array" ref="AL95">+_xll.BDP(AK95,AL$1)</f>
        <v>-14.272119999999999</v>
      </c>
      <c r="AM95" s="11" t="str" cm="1">
        <f t="array" ref="AM95">+_xll.BDP(AK95,AM$1)</f>
        <v>Consumer Discretionary</v>
      </c>
      <c r="AN95" s="11" t="str" cm="1">
        <f t="array" ref="AN95">+_xll.BDP(AK95,AN$1)</f>
        <v>Auto Parts&amp;Equipment</v>
      </c>
      <c r="AQ95"/>
    </row>
    <row r="96" spans="1:43" x14ac:dyDescent="0.25">
      <c r="AE96" t="s">
        <v>599</v>
      </c>
      <c r="AF96" s="11" cm="1">
        <f t="array" ref="AF96">+_xll.BDP(AE96,AF$1)</f>
        <v>24.397220000000001</v>
      </c>
      <c r="AG96" s="11" t="str" cm="1">
        <f t="array" ref="AG96">+_xll.BDP(AE96,AG$1)</f>
        <v>Utilities</v>
      </c>
      <c r="AH96" s="11" t="str" cm="1">
        <f t="array" ref="AH96">+_xll.BDP(AE96,AH$1)</f>
        <v>Water</v>
      </c>
      <c r="AK96" t="s">
        <v>701</v>
      </c>
      <c r="AL96" s="11" cm="1">
        <f t="array" ref="AL96">+_xll.BDP(AK96,AL$1)</f>
        <v>-25.434149999999999</v>
      </c>
      <c r="AM96" s="11" t="str" cm="1">
        <f t="array" ref="AM96">+_xll.BDP(AK96,AM$1)</f>
        <v>Materials</v>
      </c>
      <c r="AN96" s="11" t="str" cm="1">
        <f t="array" ref="AN96">+_xll.BDP(AK96,AN$1)</f>
        <v>Building Materials</v>
      </c>
      <c r="AQ96"/>
    </row>
    <row r="97" spans="31:43" x14ac:dyDescent="0.25">
      <c r="AE97" t="s">
        <v>536</v>
      </c>
      <c r="AF97" s="11" cm="1">
        <f t="array" ref="AF97">+_xll.BDP(AE97,AF$1)</f>
        <v>-9.4242360000000005</v>
      </c>
      <c r="AG97" s="11" t="str" cm="1">
        <f t="array" ref="AG97">+_xll.BDP(AE97,AG$1)</f>
        <v>Industrials</v>
      </c>
      <c r="AH97" s="11" t="str" cm="1">
        <f t="array" ref="AH97">+_xll.BDP(AE97,AH$1)</f>
        <v>Aerospace/Defense</v>
      </c>
      <c r="AK97" t="s">
        <v>760</v>
      </c>
      <c r="AL97" s="11" cm="1">
        <f t="array" ref="AL97">+_xll.BDP(AK97,AL$1)</f>
        <v>-29.081630000000001</v>
      </c>
      <c r="AM97" s="11" t="str" cm="1">
        <f t="array" ref="AM97">+_xll.BDP(AK97,AM$1)</f>
        <v>Consumer Discretionary</v>
      </c>
      <c r="AN97" s="11" t="str" cm="1">
        <f t="array" ref="AN97">+_xll.BDP(AK97,AN$1)</f>
        <v>Textiles</v>
      </c>
      <c r="AQ97"/>
    </row>
    <row r="98" spans="31:43" x14ac:dyDescent="0.25">
      <c r="AE98" t="s">
        <v>591</v>
      </c>
      <c r="AF98" s="11" cm="1">
        <f t="array" ref="AF98">+_xll.BDP(AE98,AF$1)</f>
        <v>17.558910000000001</v>
      </c>
      <c r="AG98" s="11" t="str" cm="1">
        <f t="array" ref="AG98">+_xll.BDP(AE98,AG$1)</f>
        <v>Utilities</v>
      </c>
      <c r="AH98" s="11" t="str" cm="1">
        <f t="array" ref="AH98">+_xll.BDP(AE98,AH$1)</f>
        <v>Water</v>
      </c>
      <c r="AK98" t="s">
        <v>726</v>
      </c>
      <c r="AL98" s="11" cm="1">
        <f t="array" ref="AL98">+_xll.BDP(AK98,AL$1)</f>
        <v>-8.9621919999999999</v>
      </c>
      <c r="AM98" s="11" t="str" cm="1">
        <f t="array" ref="AM98">+_xll.BDP(AK98,AM$1)</f>
        <v>Materials</v>
      </c>
      <c r="AN98" s="11" t="str" cm="1">
        <f t="array" ref="AN98">+_xll.BDP(AK98,AN$1)</f>
        <v>Chemicals</v>
      </c>
      <c r="AQ98"/>
    </row>
    <row r="99" spans="31:43" x14ac:dyDescent="0.25">
      <c r="AE99" t="s">
        <v>580</v>
      </c>
      <c r="AF99" s="11" cm="1">
        <f t="array" ref="AF99">+_xll.BDP(AE99,AF$1)</f>
        <v>-12.097860000000001</v>
      </c>
      <c r="AG99" s="11" t="str" cm="1">
        <f t="array" ref="AG99">+_xll.BDP(AE99,AG$1)</f>
        <v>Health Care</v>
      </c>
      <c r="AH99" s="11" t="str" cm="1">
        <f t="array" ref="AH99">+_xll.BDP(AE99,AH$1)</f>
        <v>Healthcare-Products</v>
      </c>
      <c r="AK99" t="s">
        <v>669</v>
      </c>
      <c r="AL99" s="11" cm="1">
        <f t="array" ref="AL99">+_xll.BDP(AK99,AL$1)</f>
        <v>9.8692030000000006</v>
      </c>
      <c r="AM99" s="11" t="str" cm="1">
        <f t="array" ref="AM99">+_xll.BDP(AK99,AM$1)</f>
        <v>Consumer Discretionary</v>
      </c>
      <c r="AN99" s="11" t="str" cm="1">
        <f t="array" ref="AN99">+_xll.BDP(AK99,AN$1)</f>
        <v>Auto Manufacturers</v>
      </c>
      <c r="AQ99"/>
    </row>
    <row r="100" spans="31:43" x14ac:dyDescent="0.25">
      <c r="AE100" t="s">
        <v>505</v>
      </c>
      <c r="AF100" s="11" cm="1">
        <f t="array" ref="AF100">+_xll.BDP(AE100,AF$1)</f>
        <v>26.955480000000001</v>
      </c>
      <c r="AG100" s="11" t="str" cm="1">
        <f t="array" ref="AG100">+_xll.BDP(AE100,AG$1)</f>
        <v>Financials</v>
      </c>
      <c r="AH100" s="11" t="str" cm="1">
        <f t="array" ref="AH100">+_xll.BDP(AE100,AH$1)</f>
        <v>Banks</v>
      </c>
      <c r="AK100" t="s">
        <v>811</v>
      </c>
      <c r="AL100" s="11" cm="1">
        <f t="array" ref="AL100">+_xll.BDP(AK100,AL$1)</f>
        <v>5.5053190000000001</v>
      </c>
      <c r="AM100" s="11" t="str" cm="1">
        <f t="array" ref="AM100">+_xll.BDP(AK100,AM$1)</f>
        <v>Financials</v>
      </c>
      <c r="AN100" s="11" t="str" cm="1">
        <f t="array" ref="AN100">+_xll.BDP(AK100,AN$1)</f>
        <v>Banks</v>
      </c>
      <c r="AQ100"/>
    </row>
    <row r="101" spans="31:43" x14ac:dyDescent="0.25">
      <c r="AE101" t="s">
        <v>597</v>
      </c>
      <c r="AF101" s="11" cm="1">
        <f t="array" ref="AF101">+_xll.BDP(AE101,AF$1)</f>
        <v>28.415299999999998</v>
      </c>
      <c r="AG101" s="11" t="str" cm="1">
        <f t="array" ref="AG101">+_xll.BDP(AE101,AG$1)</f>
        <v>Utilities</v>
      </c>
      <c r="AH101" s="11" t="str" cm="1">
        <f t="array" ref="AH101">+_xll.BDP(AE101,AH$1)</f>
        <v>Electric</v>
      </c>
      <c r="AK101" t="s">
        <v>803</v>
      </c>
      <c r="AL101" s="11" cm="1">
        <f t="array" ref="AL101">+_xll.BDP(AK101,AL$1)</f>
        <v>17.875209999999999</v>
      </c>
      <c r="AM101" s="11" t="str" cm="1">
        <f t="array" ref="AM101">+_xll.BDP(AK101,AM$1)</f>
        <v>Materials</v>
      </c>
      <c r="AN101" s="11" t="str" cm="1">
        <f t="array" ref="AN101">+_xll.BDP(AK101,AN$1)</f>
        <v>Chemicals</v>
      </c>
      <c r="AQ101"/>
    </row>
    <row r="102" spans="31:43" x14ac:dyDescent="0.25">
      <c r="AE102" t="s">
        <v>575</v>
      </c>
      <c r="AF102" s="11" cm="1">
        <f t="array" ref="AF102">+_xll.BDP(AE102,AF$1)</f>
        <v>29.338470000000001</v>
      </c>
      <c r="AG102" s="11" t="str" cm="1">
        <f t="array" ref="AG102">+_xll.BDP(AE102,AG$1)</f>
        <v>Health Care</v>
      </c>
      <c r="AH102" s="11" t="str" cm="1">
        <f t="array" ref="AH102">+_xll.BDP(AE102,AH$1)</f>
        <v>Pharmaceuticals</v>
      </c>
      <c r="AK102" t="s">
        <v>784</v>
      </c>
      <c r="AL102" s="11" cm="1">
        <f t="array" ref="AL102">+_xll.BDP(AK102,AL$1)</f>
        <v>14.07625</v>
      </c>
      <c r="AM102" s="11" t="str" cm="1">
        <f t="array" ref="AM102">+_xll.BDP(AK102,AM$1)</f>
        <v>Financials</v>
      </c>
      <c r="AN102" s="11" t="str" cm="1">
        <f t="array" ref="AN102">+_xll.BDP(AK102,AN$1)</f>
        <v>Banks</v>
      </c>
      <c r="AQ102"/>
    </row>
    <row r="103" spans="31:43" x14ac:dyDescent="0.25">
      <c r="AK103" t="s">
        <v>762</v>
      </c>
      <c r="AL103" s="11" cm="1">
        <f t="array" ref="AL103">+_xll.BDP(AK103,AL$1)</f>
        <v>-18.473549999999999</v>
      </c>
      <c r="AM103" s="11" t="str" cm="1">
        <f t="array" ref="AM103">+_xll.BDP(AK103,AM$1)</f>
        <v>Information Technology</v>
      </c>
      <c r="AN103" s="11" t="str" cm="1">
        <f t="array" ref="AN103">+_xll.BDP(AK103,AN$1)</f>
        <v>Office/Business Equip</v>
      </c>
    </row>
    <row r="104" spans="31:43" x14ac:dyDescent="0.25">
      <c r="AK104" t="s">
        <v>859</v>
      </c>
      <c r="AL104" s="11" cm="1">
        <f t="array" ref="AL104">+_xll.BDP(AK104,AL$1)</f>
        <v>42.857140000000001</v>
      </c>
      <c r="AM104" s="11" t="str" cm="1">
        <f t="array" ref="AM104">+_xll.BDP(AK104,AM$1)</f>
        <v>Industrials</v>
      </c>
      <c r="AN104" s="11" t="str" cm="1">
        <f t="array" ref="AN104">+_xll.BDP(AK104,AN$1)</f>
        <v>Distribution/Wholesale</v>
      </c>
    </row>
    <row r="105" spans="31:43" x14ac:dyDescent="0.25">
      <c r="AK105" t="s">
        <v>848</v>
      </c>
      <c r="AL105" s="11" cm="1">
        <f t="array" ref="AL105">+_xll.BDP(AK105,AL$1)</f>
        <v>38.670459999999999</v>
      </c>
      <c r="AM105" s="11" t="str" cm="1">
        <f t="array" ref="AM105">+_xll.BDP(AK105,AM$1)</f>
        <v>Financials</v>
      </c>
      <c r="AN105" s="11" t="str" cm="1">
        <f t="array" ref="AN105">+_xll.BDP(AK105,AN$1)</f>
        <v>Insurance</v>
      </c>
    </row>
    <row r="106" spans="31:43" x14ac:dyDescent="0.25">
      <c r="AK106" t="s">
        <v>868</v>
      </c>
      <c r="AL106" s="11" cm="1">
        <f t="array" ref="AL106">+_xll.BDP(AK106,AL$1)</f>
        <v>11.388920000000001</v>
      </c>
      <c r="AM106" s="11" t="str" cm="1">
        <f t="array" ref="AM106">+_xll.BDP(AK106,AM$1)</f>
        <v>Consumer Discretionary</v>
      </c>
      <c r="AN106" s="11" t="str" cm="1">
        <f t="array" ref="AN106">+_xll.BDP(AK106,AN$1)</f>
        <v>Toys/Games/Hobbies</v>
      </c>
    </row>
    <row r="107" spans="31:43" x14ac:dyDescent="0.25">
      <c r="AK107" t="s">
        <v>789</v>
      </c>
      <c r="AL107" s="11" cm="1">
        <f t="array" ref="AL107">+_xll.BDP(AK107,AL$1)</f>
        <v>-13.35575</v>
      </c>
      <c r="AM107" s="11" t="str" cm="1">
        <f t="array" ref="AM107">+_xll.BDP(AK107,AM$1)</f>
        <v>Consumer Discretionary</v>
      </c>
      <c r="AN107" s="11" t="str" cm="1">
        <f t="array" ref="AN107">+_xll.BDP(AK107,AN$1)</f>
        <v>Auto Parts&amp;Equipment</v>
      </c>
    </row>
    <row r="108" spans="31:43" x14ac:dyDescent="0.25">
      <c r="AK108" t="s">
        <v>782</v>
      </c>
      <c r="AL108" s="11" cm="1">
        <f t="array" ref="AL108">+_xll.BDP(AK108,AL$1)</f>
        <v>34.098869999999998</v>
      </c>
      <c r="AM108" s="11" t="str" cm="1">
        <f t="array" ref="AM108">+_xll.BDP(AK108,AM$1)</f>
        <v>Financials</v>
      </c>
      <c r="AN108" s="11" t="str" cm="1">
        <f t="array" ref="AN108">+_xll.BDP(AK108,AN$1)</f>
        <v>Banks</v>
      </c>
    </row>
    <row r="109" spans="31:43" x14ac:dyDescent="0.25">
      <c r="AK109" t="s">
        <v>779</v>
      </c>
      <c r="AL109" s="11" cm="1">
        <f t="array" ref="AL109">+_xll.BDP(AK109,AL$1)</f>
        <v>-15.448499999999999</v>
      </c>
      <c r="AM109" s="11" t="str" cm="1">
        <f t="array" ref="AM109">+_xll.BDP(AK109,AM$1)</f>
        <v>Industrials</v>
      </c>
      <c r="AN109" s="11" t="str" cm="1">
        <f t="array" ref="AN109">+_xll.BDP(AK109,AN$1)</f>
        <v>Hand/Machine Tools</v>
      </c>
    </row>
    <row r="110" spans="31:43" x14ac:dyDescent="0.25">
      <c r="AK110" t="s">
        <v>827</v>
      </c>
      <c r="AL110" s="11" cm="1">
        <f t="array" ref="AL110">+_xll.BDP(AK110,AL$1)</f>
        <v>-11.754390000000001</v>
      </c>
      <c r="AM110" s="11" t="str" cm="1">
        <f t="array" ref="AM110">+_xll.BDP(AK110,AM$1)</f>
        <v>Materials</v>
      </c>
      <c r="AN110" s="11" t="str" cm="1">
        <f t="array" ref="AN110">+_xll.BDP(AK110,AN$1)</f>
        <v>Chemicals</v>
      </c>
    </row>
    <row r="111" spans="31:43" x14ac:dyDescent="0.25">
      <c r="AK111" t="s">
        <v>699</v>
      </c>
      <c r="AL111" s="11" cm="1">
        <f t="array" ref="AL111">+_xll.BDP(AK111,AL$1)</f>
        <v>-5.7498060000000004</v>
      </c>
      <c r="AM111" s="11" t="str" cm="1">
        <f t="array" ref="AM111">+_xll.BDP(AK111,AM$1)</f>
        <v>Information Technology</v>
      </c>
      <c r="AN111" s="11" t="str" cm="1">
        <f t="array" ref="AN111">+_xll.BDP(AK111,AN$1)</f>
        <v>Electronics</v>
      </c>
    </row>
    <row r="112" spans="31:43" x14ac:dyDescent="0.25">
      <c r="AK112" t="s">
        <v>705</v>
      </c>
      <c r="AL112" s="11" cm="1">
        <f t="array" ref="AL112">+_xll.BDP(AK112,AL$1)</f>
        <v>-14.681889999999999</v>
      </c>
      <c r="AM112" s="11" t="str" cm="1">
        <f t="array" ref="AM112">+_xll.BDP(AK112,AM$1)</f>
        <v>Consumer Discretionary</v>
      </c>
      <c r="AN112" s="11" t="str" cm="1">
        <f t="array" ref="AN112">+_xll.BDP(AK112,AN$1)</f>
        <v>Leisure Time</v>
      </c>
    </row>
    <row r="113" spans="37:40" x14ac:dyDescent="0.25">
      <c r="AK113" t="s">
        <v>845</v>
      </c>
      <c r="AL113" s="11" cm="1">
        <f t="array" ref="AL113">+_xll.BDP(AK113,AL$1)</f>
        <v>-4.2941339999999997</v>
      </c>
      <c r="AM113" s="11" t="str" cm="1">
        <f t="array" ref="AM113">+_xll.BDP(AK113,AM$1)</f>
        <v>Real Estate</v>
      </c>
      <c r="AN113" s="11" t="str" cm="1">
        <f t="array" ref="AN113">+_xll.BDP(AK113,AN$1)</f>
        <v>Real Estate</v>
      </c>
    </row>
    <row r="114" spans="37:40" x14ac:dyDescent="0.25">
      <c r="AK114" t="s">
        <v>707</v>
      </c>
      <c r="AL114" s="11" cm="1">
        <f t="array" ref="AL114">+_xll.BDP(AK114,AL$1)</f>
        <v>-10.75103</v>
      </c>
      <c r="AM114" s="11" t="str" cm="1">
        <f t="array" ref="AM114">+_xll.BDP(AK114,AM$1)</f>
        <v>Industrials</v>
      </c>
      <c r="AN114" s="11" t="str" cm="1">
        <f t="array" ref="AN114">+_xll.BDP(AK114,AN$1)</f>
        <v>Auto Parts&amp;Equipment</v>
      </c>
    </row>
    <row r="115" spans="37:40" x14ac:dyDescent="0.25">
      <c r="AK115" t="s">
        <v>854</v>
      </c>
      <c r="AL115" s="11" cm="1">
        <f t="array" ref="AL115">+_xll.BDP(AK115,AL$1)</f>
        <v>-19.4664</v>
      </c>
      <c r="AM115" s="11" t="str" cm="1">
        <f t="array" ref="AM115">+_xll.BDP(AK115,AM$1)</f>
        <v>Consumer Staples</v>
      </c>
      <c r="AN115" s="11" t="str" cm="1">
        <f t="array" ref="AN115">+_xll.BDP(AK115,AN$1)</f>
        <v>Food</v>
      </c>
    </row>
    <row r="116" spans="37:40" x14ac:dyDescent="0.25">
      <c r="AK116" t="s">
        <v>728</v>
      </c>
      <c r="AL116" s="11" cm="1">
        <f t="array" ref="AL116">+_xll.BDP(AK116,AL$1)</f>
        <v>74.314099999999996</v>
      </c>
      <c r="AM116" s="11" t="str" cm="1">
        <f t="array" ref="AM116">+_xll.BDP(AK116,AM$1)</f>
        <v>Materials</v>
      </c>
      <c r="AN116" s="11" t="str" cm="1">
        <f t="array" ref="AN116">+_xll.BDP(AK116,AN$1)</f>
        <v>Mining</v>
      </c>
    </row>
    <row r="117" spans="37:40" x14ac:dyDescent="0.25">
      <c r="AK117" t="s">
        <v>793</v>
      </c>
      <c r="AL117" s="11" cm="1">
        <f t="array" ref="AL117">+_xll.BDP(AK117,AL$1)</f>
        <v>-3.7135280000000002</v>
      </c>
      <c r="AM117" s="11" t="str" cm="1">
        <f t="array" ref="AM117">+_xll.BDP(AK117,AM$1)</f>
        <v>Industrials</v>
      </c>
      <c r="AN117" s="11" t="str" cm="1">
        <f t="array" ref="AN117">+_xll.BDP(AK117,AN$1)</f>
        <v>Engineering&amp;Construction</v>
      </c>
    </row>
    <row r="118" spans="37:40" x14ac:dyDescent="0.25">
      <c r="AK118" t="s">
        <v>757</v>
      </c>
      <c r="AL118" s="11" cm="1">
        <f t="array" ref="AL118">+_xll.BDP(AK118,AL$1)</f>
        <v>-20.536650000000002</v>
      </c>
      <c r="AM118" s="11" t="str" cm="1">
        <f t="array" ref="AM118">+_xll.BDP(AK118,AM$1)</f>
        <v>Financials</v>
      </c>
      <c r="AN118" s="11" t="str" cm="1">
        <f t="array" ref="AN118">+_xll.BDP(AK118,AN$1)</f>
        <v>Diversified Finan Serv</v>
      </c>
    </row>
    <row r="119" spans="37:40" x14ac:dyDescent="0.25">
      <c r="AK119" t="s">
        <v>815</v>
      </c>
      <c r="AL119" s="11" cm="1">
        <f t="array" ref="AL119">+_xll.BDP(AK119,AL$1)</f>
        <v>31.723030000000001</v>
      </c>
      <c r="AM119" s="11" t="str" cm="1">
        <f t="array" ref="AM119">+_xll.BDP(AK119,AM$1)</f>
        <v>Financials</v>
      </c>
      <c r="AN119" s="11" t="str" cm="1">
        <f t="array" ref="AN119">+_xll.BDP(AK119,AN$1)</f>
        <v>Banks</v>
      </c>
    </row>
    <row r="120" spans="37:40" x14ac:dyDescent="0.25">
      <c r="AK120" t="s">
        <v>812</v>
      </c>
      <c r="AL120" s="11" cm="1">
        <f t="array" ref="AL120">+_xll.BDP(AK120,AL$1)</f>
        <v>-2.191662</v>
      </c>
      <c r="AM120" s="11" t="str" cm="1">
        <f t="array" ref="AM120">+_xll.BDP(AK120,AM$1)</f>
        <v>Energy</v>
      </c>
      <c r="AN120" s="11" t="str" cm="1">
        <f t="array" ref="AN120">+_xll.BDP(AK120,AN$1)</f>
        <v>Oil&amp;Gas</v>
      </c>
    </row>
    <row r="121" spans="37:40" x14ac:dyDescent="0.25">
      <c r="AK121" t="s">
        <v>703</v>
      </c>
      <c r="AL121" s="11" cm="1">
        <f t="array" ref="AL121">+_xll.BDP(AK121,AL$1)</f>
        <v>-38.801090000000002</v>
      </c>
      <c r="AM121" s="11" t="str" cm="1">
        <f t="array" ref="AM121">+_xll.BDP(AK121,AM$1)</f>
        <v>Health Care</v>
      </c>
      <c r="AN121" s="11" t="str" cm="1">
        <f t="array" ref="AN121">+_xll.BDP(AK121,AN$1)</f>
        <v>Pharmaceuticals</v>
      </c>
    </row>
    <row r="122" spans="37:40" x14ac:dyDescent="0.25">
      <c r="AK122" t="s">
        <v>729</v>
      </c>
      <c r="AL122" s="11" cm="1">
        <f t="array" ref="AL122">+_xll.BDP(AK122,AL$1)</f>
        <v>29.527909999999999</v>
      </c>
      <c r="AM122" s="11" t="str" cm="1">
        <f t="array" ref="AM122">+_xll.BDP(AK122,AM$1)</f>
        <v>Financials</v>
      </c>
      <c r="AN122" s="11" t="str" cm="1">
        <f t="array" ref="AN122">+_xll.BDP(AK122,AN$1)</f>
        <v>Banks</v>
      </c>
    </row>
    <row r="123" spans="37:40" x14ac:dyDescent="0.25">
      <c r="AK123" t="s">
        <v>776</v>
      </c>
      <c r="AL123" s="11" cm="1">
        <f t="array" ref="AL123">+_xll.BDP(AK123,AL$1)</f>
        <v>15.32241</v>
      </c>
      <c r="AM123" s="11" t="str" cm="1">
        <f t="array" ref="AM123">+_xll.BDP(AK123,AM$1)</f>
        <v>Real Estate</v>
      </c>
      <c r="AN123" s="11" t="str" cm="1">
        <f t="array" ref="AN123">+_xll.BDP(AK123,AN$1)</f>
        <v>Real Estate</v>
      </c>
    </row>
    <row r="124" spans="37:40" x14ac:dyDescent="0.25">
      <c r="AK124" t="s">
        <v>735</v>
      </c>
      <c r="AL124" s="11" cm="1">
        <f t="array" ref="AL124">+_xll.BDP(AK124,AL$1)</f>
        <v>-17.133199999999999</v>
      </c>
      <c r="AM124" s="11" t="str" cm="1">
        <f t="array" ref="AM124">+_xll.BDP(AK124,AM$1)</f>
        <v>Consumer Discretionary</v>
      </c>
      <c r="AN124" s="11" t="str" cm="1">
        <f t="array" ref="AN124">+_xll.BDP(AK124,AN$1)</f>
        <v>Auto Parts&amp;Equipment</v>
      </c>
    </row>
    <row r="125" spans="37:40" x14ac:dyDescent="0.25">
      <c r="AK125" t="s">
        <v>775</v>
      </c>
      <c r="AL125" s="11" cm="1">
        <f t="array" ref="AL125">+_xll.BDP(AK125,AL$1)</f>
        <v>11.26648</v>
      </c>
      <c r="AM125" s="11" t="str" cm="1">
        <f t="array" ref="AM125">+_xll.BDP(AK125,AM$1)</f>
        <v>Communication Services</v>
      </c>
      <c r="AN125" s="11" t="str" cm="1">
        <f t="array" ref="AN125">+_xll.BDP(AK125,AN$1)</f>
        <v>Entertainment</v>
      </c>
    </row>
    <row r="126" spans="37:40" x14ac:dyDescent="0.25">
      <c r="AK126" t="s">
        <v>850</v>
      </c>
      <c r="AL126" s="11" cm="1">
        <f t="array" ref="AL126">+_xll.BDP(AK126,AL$1)</f>
        <v>16.385539999999999</v>
      </c>
      <c r="AM126" s="11" t="str" cm="1">
        <f t="array" ref="AM126">+_xll.BDP(AK126,AM$1)</f>
        <v>Financials</v>
      </c>
      <c r="AN126" s="11" t="str" cm="1">
        <f t="array" ref="AN126">+_xll.BDP(AK126,AN$1)</f>
        <v>Banks</v>
      </c>
    </row>
    <row r="127" spans="37:40" x14ac:dyDescent="0.25">
      <c r="AK127" t="s">
        <v>674</v>
      </c>
      <c r="AL127" s="11" cm="1">
        <f t="array" ref="AL127">+_xll.BDP(AK127,AL$1)</f>
        <v>-17.546849999999999</v>
      </c>
      <c r="AM127" s="11" t="str" cm="1">
        <f t="array" ref="AM127">+_xll.BDP(AK127,AM$1)</f>
        <v>Information Technology</v>
      </c>
      <c r="AN127" s="11" t="str" cm="1">
        <f t="array" ref="AN127">+_xll.BDP(AK127,AN$1)</f>
        <v>Office/Business Equip</v>
      </c>
    </row>
    <row r="128" spans="37:40" x14ac:dyDescent="0.25">
      <c r="AK128" t="s">
        <v>872</v>
      </c>
      <c r="AL128" s="11" cm="1">
        <f t="array" ref="AL128">+_xll.BDP(AK128,AL$1)</f>
        <v>46.89678</v>
      </c>
      <c r="AM128" s="11" t="str" cm="1">
        <f t="array" ref="AM128">+_xll.BDP(AK128,AM$1)</f>
        <v>Industrials</v>
      </c>
      <c r="AN128" s="11" t="str" cm="1">
        <f t="array" ref="AN128">+_xll.BDP(AK128,AN$1)</f>
        <v>Distribution/Wholesale</v>
      </c>
    </row>
    <row r="129" spans="37:40" x14ac:dyDescent="0.25">
      <c r="AK129" t="s">
        <v>805</v>
      </c>
      <c r="AL129" s="11" cm="1">
        <f t="array" ref="AL129">+_xll.BDP(AK129,AL$1)</f>
        <v>-39.683680000000003</v>
      </c>
      <c r="AM129" s="11" t="str" cm="1">
        <f t="array" ref="AM129">+_xll.BDP(AK129,AM$1)</f>
        <v>Materials</v>
      </c>
      <c r="AN129" s="11" t="str" cm="1">
        <f t="array" ref="AN129">+_xll.BDP(AK129,AN$1)</f>
        <v>Chemicals</v>
      </c>
    </row>
    <row r="130" spans="37:40" x14ac:dyDescent="0.25">
      <c r="AK130" t="s">
        <v>767</v>
      </c>
      <c r="AL130" s="11" cm="1">
        <f t="array" ref="AL130">+_xll.BDP(AK130,AL$1)</f>
        <v>17.410710000000002</v>
      </c>
      <c r="AM130" s="11" t="str" cm="1">
        <f t="array" ref="AM130">+_xll.BDP(AK130,AM$1)</f>
        <v>Financials</v>
      </c>
      <c r="AN130" s="11" t="str" cm="1">
        <f t="array" ref="AN130">+_xll.BDP(AK130,AN$1)</f>
        <v>Diversified Finan Serv</v>
      </c>
    </row>
    <row r="131" spans="37:40" x14ac:dyDescent="0.25">
      <c r="AK131" t="s">
        <v>727</v>
      </c>
      <c r="AL131" s="11" cm="1">
        <f t="array" ref="AL131">+_xll.BDP(AK131,AL$1)</f>
        <v>-20.757429999999999</v>
      </c>
      <c r="AM131" s="11" t="str" cm="1">
        <f t="array" ref="AM131">+_xll.BDP(AK131,AM$1)</f>
        <v>Materials</v>
      </c>
      <c r="AN131" s="11" t="str" cm="1">
        <f t="array" ref="AN131">+_xll.BDP(AK131,AN$1)</f>
        <v>Mining</v>
      </c>
    </row>
    <row r="132" spans="37:40" x14ac:dyDescent="0.25">
      <c r="AK132" t="s">
        <v>799</v>
      </c>
      <c r="AL132" s="11" cm="1">
        <f t="array" ref="AL132">+_xll.BDP(AK132,AL$1)</f>
        <v>-15.86538</v>
      </c>
      <c r="AM132" s="11" t="str" cm="1">
        <f t="array" ref="AM132">+_xll.BDP(AK132,AM$1)</f>
        <v>Industrials</v>
      </c>
      <c r="AN132" s="11" t="str" cm="1">
        <f t="array" ref="AN132">+_xll.BDP(AK132,AN$1)</f>
        <v>Engineering&amp;Construction</v>
      </c>
    </row>
    <row r="133" spans="37:40" x14ac:dyDescent="0.25">
      <c r="AK133" t="s">
        <v>746</v>
      </c>
      <c r="AL133" s="11" cm="1">
        <f t="array" ref="AL133">+_xll.BDP(AK133,AL$1)</f>
        <v>-18.892219999999998</v>
      </c>
      <c r="AM133" s="11" t="str" cm="1">
        <f t="array" ref="AM133">+_xll.BDP(AK133,AM$1)</f>
        <v>Health Care</v>
      </c>
      <c r="AN133" s="11" t="str" cm="1">
        <f t="array" ref="AN133">+_xll.BDP(AK133,AN$1)</f>
        <v>Pharmaceuticals</v>
      </c>
    </row>
    <row r="134" spans="37:40" x14ac:dyDescent="0.25">
      <c r="AK134" t="s">
        <v>869</v>
      </c>
      <c r="AL134" s="11" cm="1">
        <f t="array" ref="AL134">+_xll.BDP(AK134,AL$1)</f>
        <v>-7.1852340000000003</v>
      </c>
      <c r="AM134" s="11" t="str" cm="1">
        <f t="array" ref="AM134">+_xll.BDP(AK134,AM$1)</f>
        <v>Consumer Discretionary</v>
      </c>
      <c r="AN134" s="11" t="str" cm="1">
        <f t="array" ref="AN134">+_xll.BDP(AK134,AN$1)</f>
        <v>Home Builders</v>
      </c>
    </row>
    <row r="135" spans="37:40" x14ac:dyDescent="0.25">
      <c r="AK135" t="s">
        <v>770</v>
      </c>
      <c r="AL135" s="11" cm="1">
        <f t="array" ref="AL135">+_xll.BDP(AK135,AL$1)</f>
        <v>3.9052889999999998</v>
      </c>
      <c r="AM135" s="11" t="str" cm="1">
        <f t="array" ref="AM135">+_xll.BDP(AK135,AM$1)</f>
        <v>Consumer Discretionary</v>
      </c>
      <c r="AN135" s="11" t="str" cm="1">
        <f t="array" ref="AN135">+_xll.BDP(AK135,AN$1)</f>
        <v>Auto Manufacturers</v>
      </c>
    </row>
    <row r="136" spans="37:40" x14ac:dyDescent="0.25">
      <c r="AK136" t="s">
        <v>708</v>
      </c>
      <c r="AL136" s="11" cm="1">
        <f t="array" ref="AL136">+_xll.BDP(AK136,AL$1)</f>
        <v>17.53472</v>
      </c>
      <c r="AM136" s="11" t="str" cm="1">
        <f t="array" ref="AM136">+_xll.BDP(AK136,AM$1)</f>
        <v>Real Estate</v>
      </c>
      <c r="AN136" s="11" t="str" cm="1">
        <f t="array" ref="AN136">+_xll.BDP(AK136,AN$1)</f>
        <v>Real Estate</v>
      </c>
    </row>
    <row r="137" spans="37:40" x14ac:dyDescent="0.25">
      <c r="AK137" t="s">
        <v>739</v>
      </c>
      <c r="AL137" s="11" cm="1">
        <f t="array" ref="AL137">+_xll.BDP(AK137,AL$1)</f>
        <v>-3.1620550000000001</v>
      </c>
      <c r="AM137" s="11" t="str" cm="1">
        <f t="array" ref="AM137">+_xll.BDP(AK137,AM$1)</f>
        <v>Health Care</v>
      </c>
      <c r="AN137" s="11" t="str" cm="1">
        <f t="array" ref="AN137">+_xll.BDP(AK137,AN$1)</f>
        <v>Pharmaceuticals</v>
      </c>
    </row>
    <row r="138" spans="37:40" x14ac:dyDescent="0.25">
      <c r="AK138" t="s">
        <v>788</v>
      </c>
      <c r="AL138" s="11" cm="1">
        <f t="array" ref="AL138">+_xll.BDP(AK138,AL$1)</f>
        <v>115.6463</v>
      </c>
      <c r="AM138" s="11" t="str" cm="1">
        <f t="array" ref="AM138">+_xll.BDP(AK138,AM$1)</f>
        <v>Energy</v>
      </c>
      <c r="AN138" s="11" t="str" cm="1">
        <f t="array" ref="AN138">+_xll.BDP(AK138,AN$1)</f>
        <v>Oil&amp;Gas</v>
      </c>
    </row>
    <row r="139" spans="37:40" x14ac:dyDescent="0.25">
      <c r="AK139" t="s">
        <v>676</v>
      </c>
      <c r="AL139" s="11" cm="1">
        <f t="array" ref="AL139">+_xll.BDP(AK139,AL$1)</f>
        <v>50.15934</v>
      </c>
      <c r="AM139" s="11" t="str" cm="1">
        <f t="array" ref="AM139">+_xll.BDP(AK139,AM$1)</f>
        <v>Financials</v>
      </c>
      <c r="AN139" s="11" t="str" cm="1">
        <f t="array" ref="AN139">+_xll.BDP(AK139,AN$1)</f>
        <v>Banks</v>
      </c>
    </row>
    <row r="140" spans="37:40" x14ac:dyDescent="0.25">
      <c r="AK140" t="s">
        <v>798</v>
      </c>
      <c r="AL140" s="11" cm="1">
        <f t="array" ref="AL140">+_xll.BDP(AK140,AL$1)</f>
        <v>3.4647549999999998</v>
      </c>
      <c r="AM140" s="11" t="str" cm="1">
        <f t="array" ref="AM140">+_xll.BDP(AK140,AM$1)</f>
        <v>Financials</v>
      </c>
      <c r="AN140" s="11" t="str" cm="1">
        <f t="array" ref="AN140">+_xll.BDP(AK140,AN$1)</f>
        <v>Banks</v>
      </c>
    </row>
    <row r="141" spans="37:40" x14ac:dyDescent="0.25">
      <c r="AK141" t="s">
        <v>864</v>
      </c>
      <c r="AL141" s="11" cm="1">
        <f t="array" ref="AL141">+_xll.BDP(AK141,AL$1)</f>
        <v>-22.26304</v>
      </c>
      <c r="AM141" s="11" t="str" cm="1">
        <f t="array" ref="AM141">+_xll.BDP(AK141,AM$1)</f>
        <v>Materials</v>
      </c>
      <c r="AN141" s="11" t="str" cm="1">
        <f t="array" ref="AN141">+_xll.BDP(AK141,AN$1)</f>
        <v>Miscellaneous Manufactur</v>
      </c>
    </row>
    <row r="142" spans="37:40" x14ac:dyDescent="0.25">
      <c r="AK142" t="s">
        <v>810</v>
      </c>
      <c r="AL142" s="11" cm="1">
        <f t="array" ref="AL142">+_xll.BDP(AK142,AL$1)</f>
        <v>5.3311260000000003</v>
      </c>
      <c r="AM142" s="11" t="str" cm="1">
        <f t="array" ref="AM142">+_xll.BDP(AK142,AM$1)</f>
        <v>Financials</v>
      </c>
      <c r="AN142" s="11" t="str" cm="1">
        <f t="array" ref="AN142">+_xll.BDP(AK142,AN$1)</f>
        <v>Banks</v>
      </c>
    </row>
    <row r="143" spans="37:40" x14ac:dyDescent="0.25">
      <c r="AK143" t="s">
        <v>840</v>
      </c>
      <c r="AL143" s="11" cm="1">
        <f t="array" ref="AL143">+_xll.BDP(AK143,AL$1)</f>
        <v>-16.883120000000002</v>
      </c>
      <c r="AM143" s="11" t="str" cm="1">
        <f t="array" ref="AM143">+_xll.BDP(AK143,AM$1)</f>
        <v>Industrials</v>
      </c>
      <c r="AN143" s="11" t="str" cm="1">
        <f t="array" ref="AN143">+_xll.BDP(AK143,AN$1)</f>
        <v>Machinery-Constr&amp;Mining</v>
      </c>
    </row>
    <row r="144" spans="37:40" x14ac:dyDescent="0.25">
      <c r="AK144" t="s">
        <v>772</v>
      </c>
      <c r="AL144" s="11" cm="1">
        <f t="array" ref="AL144">+_xll.BDP(AK144,AL$1)</f>
        <v>-4.3225600000000002</v>
      </c>
      <c r="AM144" s="11" t="str" cm="1">
        <f t="array" ref="AM144">+_xll.BDP(AK144,AM$1)</f>
        <v>Materials</v>
      </c>
      <c r="AN144" s="11" t="str" cm="1">
        <f t="array" ref="AN144">+_xll.BDP(AK144,AN$1)</f>
        <v>Chemicals</v>
      </c>
    </row>
    <row r="145" spans="37:40" x14ac:dyDescent="0.25">
      <c r="AK145" t="s">
        <v>837</v>
      </c>
      <c r="AL145" s="11" cm="1">
        <f t="array" ref="AL145">+_xll.BDP(AK145,AL$1)</f>
        <v>-15.25773</v>
      </c>
      <c r="AM145" s="11" t="str" cm="1">
        <f t="array" ref="AM145">+_xll.BDP(AK145,AM$1)</f>
        <v>Communication Services</v>
      </c>
      <c r="AN145" s="11" t="str" cm="1">
        <f t="array" ref="AN145">+_xll.BDP(AK145,AN$1)</f>
        <v>Media</v>
      </c>
    </row>
    <row r="146" spans="37:40" x14ac:dyDescent="0.25">
      <c r="AK146" t="s">
        <v>752</v>
      </c>
      <c r="AL146" s="11" cm="1">
        <f t="array" ref="AL146">+_xll.BDP(AK146,AL$1)</f>
        <v>26.128319999999999</v>
      </c>
      <c r="AM146" s="11" t="str" cm="1">
        <f t="array" ref="AM146">+_xll.BDP(AK146,AM$1)</f>
        <v>Consumer Staples</v>
      </c>
      <c r="AN146" s="11" t="str" cm="1">
        <f t="array" ref="AN146">+_xll.BDP(AK146,AN$1)</f>
        <v>Food</v>
      </c>
    </row>
    <row r="147" spans="37:40" x14ac:dyDescent="0.25">
      <c r="AK147" t="s">
        <v>765</v>
      </c>
      <c r="AL147" s="11" cm="1">
        <f t="array" ref="AL147">+_xll.BDP(AK147,AL$1)</f>
        <v>4.1377360000000003</v>
      </c>
      <c r="AM147" s="11" t="str" cm="1">
        <f t="array" ref="AM147">+_xll.BDP(AK147,AM$1)</f>
        <v>Information Technology</v>
      </c>
      <c r="AN147" s="11" t="str" cm="1">
        <f t="array" ref="AN147">+_xll.BDP(AK147,AN$1)</f>
        <v>Office/Business Equip</v>
      </c>
    </row>
    <row r="148" spans="37:40" x14ac:dyDescent="0.25">
      <c r="AK148" t="s">
        <v>785</v>
      </c>
      <c r="AL148" s="11" cm="1">
        <f t="array" ref="AL148">+_xll.BDP(AK148,AL$1)</f>
        <v>-1.579987</v>
      </c>
      <c r="AM148" s="11" t="str" cm="1">
        <f t="array" ref="AM148">+_xll.BDP(AK148,AM$1)</f>
        <v>Consumer Discretionary</v>
      </c>
      <c r="AN148" s="11" t="str" cm="1">
        <f t="array" ref="AN148">+_xll.BDP(AK148,AN$1)</f>
        <v>Home Builders</v>
      </c>
    </row>
    <row r="149" spans="37:40" x14ac:dyDescent="0.25">
      <c r="AK149" t="s">
        <v>807</v>
      </c>
      <c r="AL149" s="11" cm="1">
        <f t="array" ref="AL149">+_xll.BDP(AK149,AL$1)</f>
        <v>-10.48851</v>
      </c>
      <c r="AM149" s="11" t="str" cm="1">
        <f t="array" ref="AM149">+_xll.BDP(AK149,AM$1)</f>
        <v>Materials</v>
      </c>
      <c r="AN149" s="11" t="str" cm="1">
        <f t="array" ref="AN149">+_xll.BDP(AK149,AN$1)</f>
        <v>Forest Products&amp;Paper</v>
      </c>
    </row>
    <row r="150" spans="37:40" x14ac:dyDescent="0.25">
      <c r="AK150" t="s">
        <v>792</v>
      </c>
      <c r="AL150" s="11" cm="1">
        <f t="array" ref="AL150">+_xll.BDP(AK150,AL$1)</f>
        <v>-9.8231439999999992</v>
      </c>
      <c r="AM150" s="11" t="str" cm="1">
        <f t="array" ref="AM150">+_xll.BDP(AK150,AM$1)</f>
        <v>Financials</v>
      </c>
      <c r="AN150" s="11" t="str" cm="1">
        <f t="array" ref="AN150">+_xll.BDP(AK150,AN$1)</f>
        <v>Diversified Finan Serv</v>
      </c>
    </row>
    <row r="151" spans="37:40" x14ac:dyDescent="0.25">
      <c r="AK151" t="s">
        <v>876</v>
      </c>
      <c r="AL151" s="11" cm="1">
        <f t="array" ref="AL151">+_xll.BDP(AK151,AL$1)</f>
        <v>-28.81653</v>
      </c>
      <c r="AM151" s="11" t="str" cm="1">
        <f t="array" ref="AM151">+_xll.BDP(AK151,AM$1)</f>
        <v>Industrials</v>
      </c>
      <c r="AN151" s="11" t="str" cm="1">
        <f t="array" ref="AN151">+_xll.BDP(AK151,AN$1)</f>
        <v>Transportation</v>
      </c>
    </row>
    <row r="152" spans="37:40" x14ac:dyDescent="0.25">
      <c r="AK152" t="s">
        <v>730</v>
      </c>
      <c r="AL152" s="11" cm="1">
        <f t="array" ref="AL152">+_xll.BDP(AK152,AL$1)</f>
        <v>37.853810000000003</v>
      </c>
      <c r="AM152" s="11" t="str" cm="1">
        <f t="array" ref="AM152">+_xll.BDP(AK152,AM$1)</f>
        <v>Industrials</v>
      </c>
      <c r="AN152" s="11" t="str" cm="1">
        <f t="array" ref="AN152">+_xll.BDP(AK152,AN$1)</f>
        <v>Machinery-Constr&amp;Mining</v>
      </c>
    </row>
    <row r="153" spans="37:40" x14ac:dyDescent="0.25">
      <c r="AK153" t="s">
        <v>692</v>
      </c>
      <c r="AL153" s="11" cm="1">
        <f t="array" ref="AL153">+_xll.BDP(AK153,AL$1)</f>
        <v>35.795450000000002</v>
      </c>
      <c r="AM153" s="11" t="str" cm="1">
        <f t="array" ref="AM153">+_xll.BDP(AK153,AM$1)</f>
        <v>Consumer Discretionary</v>
      </c>
      <c r="AN153" s="11" t="str" cm="1">
        <f t="array" ref="AN153">+_xll.BDP(AK153,AN$1)</f>
        <v>Retail</v>
      </c>
    </row>
    <row r="154" spans="37:40" x14ac:dyDescent="0.25">
      <c r="AK154" t="s">
        <v>877</v>
      </c>
      <c r="AL154" s="11" cm="1">
        <f t="array" ref="AL154">+_xll.BDP(AK154,AL$1)</f>
        <v>38.933329999999998</v>
      </c>
      <c r="AM154" s="11" t="str" cm="1">
        <f t="array" ref="AM154">+_xll.BDP(AK154,AM$1)</f>
        <v>Industrials</v>
      </c>
      <c r="AN154" s="11" t="str" cm="1">
        <f t="array" ref="AN154">+_xll.BDP(AK154,AN$1)</f>
        <v>Distribution/Wholesale</v>
      </c>
    </row>
    <row r="155" spans="37:40" x14ac:dyDescent="0.25">
      <c r="AK155" t="s">
        <v>825</v>
      </c>
      <c r="AL155" s="11" cm="1">
        <f t="array" ref="AL155">+_xll.BDP(AK155,AL$1)</f>
        <v>32.050669999999997</v>
      </c>
      <c r="AM155" s="11" t="str" cm="1">
        <f t="array" ref="AM155">+_xll.BDP(AK155,AM$1)</f>
        <v>Consumer Discretionary</v>
      </c>
      <c r="AN155" s="11" t="str" cm="1">
        <f t="array" ref="AN155">+_xll.BDP(AK155,AN$1)</f>
        <v>Auto Manufacturers</v>
      </c>
    </row>
    <row r="156" spans="37:40" x14ac:dyDescent="0.25">
      <c r="AK156" t="s">
        <v>846</v>
      </c>
      <c r="AL156" s="11" cm="1">
        <f t="array" ref="AL156">+_xll.BDP(AK156,AL$1)</f>
        <v>-4.4753990000000003</v>
      </c>
      <c r="AM156" s="11" t="str" cm="1">
        <f t="array" ref="AM156">+_xll.BDP(AK156,AM$1)</f>
        <v>Real Estate</v>
      </c>
      <c r="AN156" s="11" t="str" cm="1">
        <f t="array" ref="AN156">+_xll.BDP(AK156,AN$1)</f>
        <v>Home Builders</v>
      </c>
    </row>
    <row r="157" spans="37:40" x14ac:dyDescent="0.25">
      <c r="AK157" t="s">
        <v>801</v>
      </c>
      <c r="AL157" s="11" cm="1">
        <f t="array" ref="AL157">+_xll.BDP(AK157,AL$1)</f>
        <v>-15.82734</v>
      </c>
      <c r="AM157" s="11" t="str" cm="1">
        <f t="array" ref="AM157">+_xll.BDP(AK157,AM$1)</f>
        <v>Consumer Staples</v>
      </c>
      <c r="AN157" s="11" t="str" cm="1">
        <f t="array" ref="AN157">+_xll.BDP(AK157,AN$1)</f>
        <v>Food</v>
      </c>
    </row>
    <row r="158" spans="37:40" x14ac:dyDescent="0.25">
      <c r="AK158" t="s">
        <v>774</v>
      </c>
      <c r="AL158" s="11" cm="1">
        <f t="array" ref="AL158">+_xll.BDP(AK158,AL$1)</f>
        <v>-21.810220000000001</v>
      </c>
      <c r="AM158" s="11" t="str" cm="1">
        <f t="array" ref="AM158">+_xll.BDP(AK158,AM$1)</f>
        <v>Industrials</v>
      </c>
      <c r="AN158" s="11" t="str" cm="1">
        <f t="array" ref="AN158">+_xll.BDP(AK158,AN$1)</f>
        <v>Engineering&amp;Construction</v>
      </c>
    </row>
    <row r="159" spans="37:40" x14ac:dyDescent="0.25">
      <c r="AK159" t="s">
        <v>790</v>
      </c>
      <c r="AL159" s="11" cm="1">
        <f t="array" ref="AL159">+_xll.BDP(AK159,AL$1)</f>
        <v>1.6565430000000001</v>
      </c>
      <c r="AM159" s="11" t="str" cm="1">
        <f t="array" ref="AM159">+_xll.BDP(AK159,AM$1)</f>
        <v>Real Estate</v>
      </c>
      <c r="AN159" s="11" t="str" cm="1">
        <f t="array" ref="AN159">+_xll.BDP(AK159,AN$1)</f>
        <v>Real Estate</v>
      </c>
    </row>
    <row r="160" spans="37:40" x14ac:dyDescent="0.25">
      <c r="AK160" t="s">
        <v>852</v>
      </c>
      <c r="AL160" s="11" cm="1">
        <f t="array" ref="AL160">+_xll.BDP(AK160,AL$1)</f>
        <v>28.968250000000001</v>
      </c>
      <c r="AM160" s="11" t="str" cm="1">
        <f t="array" ref="AM160">+_xll.BDP(AK160,AM$1)</f>
        <v>Financials</v>
      </c>
      <c r="AN160" s="11" t="str" cm="1">
        <f t="array" ref="AN160">+_xll.BDP(AK160,AN$1)</f>
        <v>Insurance</v>
      </c>
    </row>
    <row r="161" spans="37:40" x14ac:dyDescent="0.25">
      <c r="AK161" t="s">
        <v>851</v>
      </c>
      <c r="AL161" s="11" cm="1">
        <f t="array" ref="AL161">+_xll.BDP(AK161,AL$1)</f>
        <v>0.80906149999999999</v>
      </c>
      <c r="AM161" s="11" t="str" cm="1">
        <f t="array" ref="AM161">+_xll.BDP(AK161,AM$1)</f>
        <v>Health Care</v>
      </c>
      <c r="AN161" s="11" t="str" cm="1">
        <f t="array" ref="AN161">+_xll.BDP(AK161,AN$1)</f>
        <v>Pharmaceuticals</v>
      </c>
    </row>
    <row r="162" spans="37:40" x14ac:dyDescent="0.25">
      <c r="AK162" t="s">
        <v>745</v>
      </c>
      <c r="AL162" s="11" cm="1">
        <f t="array" ref="AL162">+_xll.BDP(AK162,AL$1)</f>
        <v>31.633990000000001</v>
      </c>
      <c r="AM162" s="11" t="str" cm="1">
        <f t="array" ref="AM162">+_xll.BDP(AK162,AM$1)</f>
        <v>Industrials</v>
      </c>
      <c r="AN162" s="11" t="str" cm="1">
        <f t="array" ref="AN162">+_xll.BDP(AK162,AN$1)</f>
        <v>Distribution/Wholesale</v>
      </c>
    </row>
    <row r="163" spans="37:40" x14ac:dyDescent="0.25">
      <c r="AK163" t="s">
        <v>754</v>
      </c>
      <c r="AL163" s="11" cm="1">
        <f t="array" ref="AL163">+_xll.BDP(AK163,AL$1)</f>
        <v>9.8480740000000004</v>
      </c>
      <c r="AM163" s="11" t="str" cm="1">
        <f t="array" ref="AM163">+_xll.BDP(AK163,AM$1)</f>
        <v>Financials</v>
      </c>
      <c r="AN163" s="11" t="str" cm="1">
        <f t="array" ref="AN163">+_xll.BDP(AK163,AN$1)</f>
        <v>Banks</v>
      </c>
    </row>
    <row r="164" spans="37:40" x14ac:dyDescent="0.25">
      <c r="AK164" t="s">
        <v>655</v>
      </c>
      <c r="AL164" s="11" cm="1">
        <f t="array" ref="AL164">+_xll.BDP(AK164,AL$1)</f>
        <v>2.9818959999999999</v>
      </c>
      <c r="AM164" s="11" t="str" cm="1">
        <f t="array" ref="AM164">+_xll.BDP(AK164,AM$1)</f>
        <v>Consumer Discretionary</v>
      </c>
      <c r="AN164" s="11" t="str" cm="1">
        <f t="array" ref="AN164">+_xll.BDP(AK164,AN$1)</f>
        <v>Retail</v>
      </c>
    </row>
    <row r="165" spans="37:40" x14ac:dyDescent="0.25">
      <c r="AK165" t="s">
        <v>758</v>
      </c>
      <c r="AL165" s="11" cm="1">
        <f t="array" ref="AL165">+_xll.BDP(AK165,AL$1)</f>
        <v>-14.140829999999999</v>
      </c>
      <c r="AM165" s="11" t="str" cm="1">
        <f t="array" ref="AM165">+_xll.BDP(AK165,AM$1)</f>
        <v>Materials</v>
      </c>
      <c r="AN165" s="11" t="str" cm="1">
        <f t="array" ref="AN165">+_xll.BDP(AK165,AN$1)</f>
        <v>Mining</v>
      </c>
    </row>
    <row r="166" spans="37:40" x14ac:dyDescent="0.25">
      <c r="AK166" t="s">
        <v>722</v>
      </c>
      <c r="AL166" s="11" cm="1">
        <f t="array" ref="AL166">+_xll.BDP(AK166,AL$1)</f>
        <v>11.57985</v>
      </c>
      <c r="AM166" s="11" t="str" cm="1">
        <f t="array" ref="AM166">+_xll.BDP(AK166,AM$1)</f>
        <v>Financials</v>
      </c>
      <c r="AN166" s="11" t="str" cm="1">
        <f t="array" ref="AN166">+_xll.BDP(AK166,AN$1)</f>
        <v>Banks</v>
      </c>
    </row>
    <row r="167" spans="37:40" x14ac:dyDescent="0.25">
      <c r="AK167" t="s">
        <v>780</v>
      </c>
      <c r="AL167" s="11" cm="1">
        <f t="array" ref="AL167">+_xll.BDP(AK167,AL$1)</f>
        <v>31.238099999999999</v>
      </c>
      <c r="AM167" s="11" t="str" cm="1">
        <f t="array" ref="AM167">+_xll.BDP(AK167,AM$1)</f>
        <v>Energy</v>
      </c>
      <c r="AN167" s="11" t="str" cm="1">
        <f t="array" ref="AN167">+_xll.BDP(AK167,AN$1)</f>
        <v>Oil&amp;Gas</v>
      </c>
    </row>
    <row r="168" spans="37:40" x14ac:dyDescent="0.25">
      <c r="AK168" t="s">
        <v>879</v>
      </c>
      <c r="AL168" s="11" cm="1">
        <f t="array" ref="AL168">+_xll.BDP(AK168,AL$1)</f>
        <v>-0.14334820000000001</v>
      </c>
      <c r="AM168" s="11" t="str" cm="1">
        <f t="array" ref="AM168">+_xll.BDP(AK168,AM$1)</f>
        <v>Financials</v>
      </c>
      <c r="AN168" s="11" t="str" cm="1">
        <f t="array" ref="AN168">+_xll.BDP(AK168,AN$1)</f>
        <v>Insurance</v>
      </c>
    </row>
    <row r="169" spans="37:40" x14ac:dyDescent="0.25">
      <c r="AK169" t="s">
        <v>773</v>
      </c>
      <c r="AL169" s="11" cm="1">
        <f t="array" ref="AL169">+_xll.BDP(AK169,AL$1)</f>
        <v>-14.070180000000001</v>
      </c>
      <c r="AM169" s="11" t="str" cm="1">
        <f t="array" ref="AM169">+_xll.BDP(AK169,AM$1)</f>
        <v>Materials</v>
      </c>
      <c r="AN169" s="11" t="str" cm="1">
        <f t="array" ref="AN169">+_xll.BDP(AK169,AN$1)</f>
        <v>Chemicals</v>
      </c>
    </row>
    <row r="170" spans="37:40" x14ac:dyDescent="0.25">
      <c r="AK170" t="s">
        <v>742</v>
      </c>
      <c r="AL170" s="11" cm="1">
        <f t="array" ref="AL170">+_xll.BDP(AK170,AL$1)</f>
        <v>-12.195119999999999</v>
      </c>
      <c r="AM170" s="11" t="str" cm="1">
        <f t="array" ref="AM170">+_xll.BDP(AK170,AM$1)</f>
        <v>Materials</v>
      </c>
      <c r="AN170" s="11" t="str" cm="1">
        <f t="array" ref="AN170">+_xll.BDP(AK170,AN$1)</f>
        <v>Chemicals</v>
      </c>
    </row>
    <row r="171" spans="37:40" x14ac:dyDescent="0.25">
      <c r="AK171" t="s">
        <v>764</v>
      </c>
      <c r="AL171" s="11" cm="1">
        <f t="array" ref="AL171">+_xll.BDP(AK171,AL$1)</f>
        <v>2.5641029999999998</v>
      </c>
      <c r="AM171" s="11" t="str" cm="1">
        <f t="array" ref="AM171">+_xll.BDP(AK171,AM$1)</f>
        <v>Industrials</v>
      </c>
      <c r="AN171" s="11" t="str" cm="1">
        <f t="array" ref="AN171">+_xll.BDP(AK171,AN$1)</f>
        <v>Transportation</v>
      </c>
    </row>
    <row r="172" spans="37:40" x14ac:dyDescent="0.25">
      <c r="AK172" t="s">
        <v>677</v>
      </c>
      <c r="AL172" s="11" cm="1">
        <f t="array" ref="AL172">+_xll.BDP(AK172,AL$1)</f>
        <v>18.016929999999999</v>
      </c>
      <c r="AM172" s="11" t="str" cm="1">
        <f t="array" ref="AM172">+_xll.BDP(AK172,AM$1)</f>
        <v>Industrials</v>
      </c>
      <c r="AN172" s="11" t="str" cm="1">
        <f t="array" ref="AN172">+_xll.BDP(AK172,AN$1)</f>
        <v>Auto Parts&amp;Equipment</v>
      </c>
    </row>
    <row r="173" spans="37:40" x14ac:dyDescent="0.25">
      <c r="AK173" t="s">
        <v>860</v>
      </c>
      <c r="AL173" s="11" cm="1">
        <f t="array" ref="AL173">+_xll.BDP(AK173,AL$1)</f>
        <v>-28.025939999999999</v>
      </c>
      <c r="AM173" s="11" t="str" cm="1">
        <f t="array" ref="AM173">+_xll.BDP(AK173,AM$1)</f>
        <v>Industrials</v>
      </c>
      <c r="AN173" s="11" t="str" cm="1">
        <f t="array" ref="AN173">+_xll.BDP(AK173,AN$1)</f>
        <v>Transportation</v>
      </c>
    </row>
    <row r="174" spans="37:40" x14ac:dyDescent="0.25">
      <c r="AK174" t="s">
        <v>841</v>
      </c>
      <c r="AL174" s="11" cm="1">
        <f t="array" ref="AL174">+_xll.BDP(AK174,AL$1)</f>
        <v>-7.03125</v>
      </c>
      <c r="AM174" s="11" t="str" cm="1">
        <f t="array" ref="AM174">+_xll.BDP(AK174,AM$1)</f>
        <v>Financials</v>
      </c>
      <c r="AN174" s="11" t="str" cm="1">
        <f t="array" ref="AN174">+_xll.BDP(AK174,AN$1)</f>
        <v>Diversified Finan Serv</v>
      </c>
    </row>
    <row r="175" spans="37:40" x14ac:dyDescent="0.25">
      <c r="AK175" t="s">
        <v>818</v>
      </c>
      <c r="AL175" s="11" cm="1">
        <f t="array" ref="AL175">+_xll.BDP(AK175,AL$1)</f>
        <v>-3.3374030000000001</v>
      </c>
      <c r="AM175" s="11" t="str" cm="1">
        <f t="array" ref="AM175">+_xll.BDP(AK175,AM$1)</f>
        <v>Consumer Staples</v>
      </c>
      <c r="AN175" s="11" t="str" cm="1">
        <f t="array" ref="AN175">+_xll.BDP(AK175,AN$1)</f>
        <v>Food</v>
      </c>
    </row>
    <row r="176" spans="37:40" x14ac:dyDescent="0.25">
      <c r="AK176" t="s">
        <v>771</v>
      </c>
      <c r="AL176" s="11" cm="1">
        <f t="array" ref="AL176">+_xll.BDP(AK176,AL$1)</f>
        <v>53.182839999999999</v>
      </c>
      <c r="AM176" s="11" t="str" cm="1">
        <f t="array" ref="AM176">+_xll.BDP(AK176,AM$1)</f>
        <v>Consumer Staples</v>
      </c>
      <c r="AN176" s="11" t="str" cm="1">
        <f t="array" ref="AN176">+_xll.BDP(AK176,AN$1)</f>
        <v>Food</v>
      </c>
    </row>
    <row r="177" spans="37:40" x14ac:dyDescent="0.25">
      <c r="AK177" t="s">
        <v>720</v>
      </c>
      <c r="AL177" s="11" cm="1">
        <f t="array" ref="AL177">+_xll.BDP(AK177,AL$1)</f>
        <v>-19.92193</v>
      </c>
      <c r="AM177" s="11" t="str" cm="1">
        <f t="array" ref="AM177">+_xll.BDP(AK177,AM$1)</f>
        <v>Consumer Staples</v>
      </c>
      <c r="AN177" s="11" t="str" cm="1">
        <f t="array" ref="AN177">+_xll.BDP(AK177,AN$1)</f>
        <v>Cosmetics/Personal Care</v>
      </c>
    </row>
    <row r="178" spans="37:40" x14ac:dyDescent="0.25">
      <c r="AK178" t="s">
        <v>761</v>
      </c>
      <c r="AL178" s="11" cm="1">
        <f t="array" ref="AL178">+_xll.BDP(AK178,AL$1)</f>
        <v>12.37785</v>
      </c>
      <c r="AM178" s="11" t="str" cm="1">
        <f t="array" ref="AM178">+_xll.BDP(AK178,AM$1)</f>
        <v>Consumer Staples</v>
      </c>
      <c r="AN178" s="11" t="str" cm="1">
        <f t="array" ref="AN178">+_xll.BDP(AK178,AN$1)</f>
        <v>Beverages</v>
      </c>
    </row>
    <row r="179" spans="37:40" x14ac:dyDescent="0.25">
      <c r="AK179" t="s">
        <v>732</v>
      </c>
      <c r="AL179" s="11" cm="1">
        <f t="array" ref="AL179">+_xll.BDP(AK179,AL$1)</f>
        <v>14.235060000000001</v>
      </c>
      <c r="AM179" s="11" t="str" cm="1">
        <f t="array" ref="AM179">+_xll.BDP(AK179,AM$1)</f>
        <v>Financials</v>
      </c>
      <c r="AN179" s="11" t="str" cm="1">
        <f t="array" ref="AN179">+_xll.BDP(AK179,AN$1)</f>
        <v>Retail</v>
      </c>
    </row>
    <row r="180" spans="37:40" x14ac:dyDescent="0.25">
      <c r="AK180" t="s">
        <v>853</v>
      </c>
      <c r="AL180" s="11" cm="1">
        <f t="array" ref="AL180">+_xll.BDP(AK180,AL$1)</f>
        <v>-3.067571</v>
      </c>
      <c r="AM180" s="11" t="str" cm="1">
        <f t="array" ref="AM180">+_xll.BDP(AK180,AM$1)</f>
        <v>Information Technology</v>
      </c>
      <c r="AN180" s="11" t="str" cm="1">
        <f t="array" ref="AN180">+_xll.BDP(AK180,AN$1)</f>
        <v>Electronics</v>
      </c>
    </row>
    <row r="181" spans="37:40" x14ac:dyDescent="0.25">
      <c r="AK181" t="s">
        <v>849</v>
      </c>
      <c r="AL181" s="11" cm="1">
        <f t="array" ref="AL181">+_xll.BDP(AK181,AL$1)</f>
        <v>-25.775020000000001</v>
      </c>
      <c r="AM181" s="11" t="str" cm="1">
        <f t="array" ref="AM181">+_xll.BDP(AK181,AM$1)</f>
        <v>Information Technology</v>
      </c>
      <c r="AN181" s="11" t="str" cm="1">
        <f t="array" ref="AN181">+_xll.BDP(AK181,AN$1)</f>
        <v>Telecommunications</v>
      </c>
    </row>
    <row r="182" spans="37:40" x14ac:dyDescent="0.25">
      <c r="AK182" t="s">
        <v>763</v>
      </c>
      <c r="AL182" s="11" cm="1">
        <f t="array" ref="AL182">+_xll.BDP(AK182,AL$1)</f>
        <v>22.533470000000001</v>
      </c>
      <c r="AM182" s="11" t="str" cm="1">
        <f t="array" ref="AM182">+_xll.BDP(AK182,AM$1)</f>
        <v>Health Care</v>
      </c>
      <c r="AN182" s="11" t="str" cm="1">
        <f t="array" ref="AN182">+_xll.BDP(AK182,AN$1)</f>
        <v>Pharmaceuticals</v>
      </c>
    </row>
    <row r="183" spans="37:40" x14ac:dyDescent="0.25">
      <c r="AK183" t="s">
        <v>808</v>
      </c>
      <c r="AL183" s="11" cm="1">
        <f t="array" ref="AL183">+_xll.BDP(AK183,AL$1)</f>
        <v>-1.5352410000000001</v>
      </c>
      <c r="AM183" s="11" t="str" cm="1">
        <f t="array" ref="AM183">+_xll.BDP(AK183,AM$1)</f>
        <v>Health Care</v>
      </c>
      <c r="AN183" s="11" t="str" cm="1">
        <f t="array" ref="AN183">+_xll.BDP(AK183,AN$1)</f>
        <v>Pharmaceuticals</v>
      </c>
    </row>
    <row r="184" spans="37:40" x14ac:dyDescent="0.25">
      <c r="AK184" t="s">
        <v>751</v>
      </c>
      <c r="AL184" s="11" cm="1">
        <f t="array" ref="AL184">+_xll.BDP(AK184,AL$1)</f>
        <v>13.043480000000001</v>
      </c>
      <c r="AM184" s="11" t="str" cm="1">
        <f t="array" ref="AM184">+_xll.BDP(AK184,AM$1)</f>
        <v>Industrials</v>
      </c>
      <c r="AN184" s="11" t="str" cm="1">
        <f t="array" ref="AN184">+_xll.BDP(AK184,AN$1)</f>
        <v>Commercial Services</v>
      </c>
    </row>
    <row r="185" spans="37:40" x14ac:dyDescent="0.25">
      <c r="AK185" t="s">
        <v>829</v>
      </c>
      <c r="AL185" s="11" cm="1">
        <f t="array" ref="AL185">+_xll.BDP(AK185,AL$1)</f>
        <v>-9.2537310000000002</v>
      </c>
      <c r="AM185" s="11" t="str" cm="1">
        <f t="array" ref="AM185">+_xll.BDP(AK185,AM$1)</f>
        <v>Industrials</v>
      </c>
      <c r="AN185" s="11" t="str" cm="1">
        <f t="array" ref="AN185">+_xll.BDP(AK185,AN$1)</f>
        <v>Engineering&amp;Construction</v>
      </c>
    </row>
    <row r="186" spans="37:40" x14ac:dyDescent="0.25">
      <c r="AK186" t="s">
        <v>832</v>
      </c>
      <c r="AL186" s="11" cm="1">
        <f t="array" ref="AL186">+_xll.BDP(AK186,AL$1)</f>
        <v>34.931139999999999</v>
      </c>
      <c r="AM186" s="11" t="str" cm="1">
        <f t="array" ref="AM186">+_xll.BDP(AK186,AM$1)</f>
        <v>Communication Services</v>
      </c>
      <c r="AN186" s="11" t="str" cm="1">
        <f t="array" ref="AN186">+_xll.BDP(AK186,AN$1)</f>
        <v>Telecommunications</v>
      </c>
    </row>
    <row r="187" spans="37:40" x14ac:dyDescent="0.25">
      <c r="AK187" t="s">
        <v>878</v>
      </c>
      <c r="AL187" s="11" cm="1">
        <f t="array" ref="AL187">+_xll.BDP(AK187,AL$1)</f>
        <v>26.55602</v>
      </c>
      <c r="AM187" s="11" t="str" cm="1">
        <f t="array" ref="AM187">+_xll.BDP(AK187,AM$1)</f>
        <v>Communication Services</v>
      </c>
      <c r="AN187" s="11" t="str" cm="1">
        <f t="array" ref="AN187">+_xll.BDP(AK187,AN$1)</f>
        <v>Telecommunications</v>
      </c>
    </row>
    <row r="188" spans="37:40" x14ac:dyDescent="0.25">
      <c r="AK188" t="s">
        <v>800</v>
      </c>
      <c r="AL188" s="11" cm="1">
        <f t="array" ref="AL188">+_xll.BDP(AK188,AL$1)</f>
        <v>-5.6289879999999997</v>
      </c>
      <c r="AM188" s="11" t="str" cm="1">
        <f t="array" ref="AM188">+_xll.BDP(AK188,AM$1)</f>
        <v>Health Care</v>
      </c>
      <c r="AN188" s="11" t="str" cm="1">
        <f t="array" ref="AN188">+_xll.BDP(AK188,AN$1)</f>
        <v>Pharmaceuticals</v>
      </c>
    </row>
    <row r="189" spans="37:40" x14ac:dyDescent="0.25">
      <c r="AK189" t="s">
        <v>664</v>
      </c>
      <c r="AL189" s="11" cm="1">
        <f t="array" ref="AL189">+_xll.BDP(AK189,AL$1)</f>
        <v>49.800400000000003</v>
      </c>
      <c r="AM189" s="11" t="str" cm="1">
        <f t="array" ref="AM189">+_xll.BDP(AK189,AM$1)</f>
        <v>Consumer Discretionary</v>
      </c>
      <c r="AN189" s="11" t="str" cm="1">
        <f t="array" ref="AN189">+_xll.BDP(AK189,AN$1)</f>
        <v>Miscellaneous Manufactur</v>
      </c>
    </row>
    <row r="190" spans="37:40" x14ac:dyDescent="0.25">
      <c r="AK190" t="s">
        <v>747</v>
      </c>
      <c r="AL190" s="11" cm="1">
        <f t="array" ref="AL190">+_xll.BDP(AK190,AL$1)</f>
        <v>-5.7357209999999998</v>
      </c>
      <c r="AM190" s="11" t="str" cm="1">
        <f t="array" ref="AM190">+_xll.BDP(AK190,AM$1)</f>
        <v>Health Care</v>
      </c>
      <c r="AN190" s="11" t="str" cm="1">
        <f t="array" ref="AN190">+_xll.BDP(AK190,AN$1)</f>
        <v>Healthcare-Products</v>
      </c>
    </row>
    <row r="191" spans="37:40" x14ac:dyDescent="0.25">
      <c r="AK191" t="s">
        <v>843</v>
      </c>
      <c r="AL191" s="11" cm="1">
        <f t="array" ref="AL191">+_xll.BDP(AK191,AL$1)</f>
        <v>21.684080000000002</v>
      </c>
      <c r="AM191" s="11" t="str" cm="1">
        <f t="array" ref="AM191">+_xll.BDP(AK191,AM$1)</f>
        <v>Financials</v>
      </c>
      <c r="AN191" s="11" t="str" cm="1">
        <f t="array" ref="AN191">+_xll.BDP(AK191,AN$1)</f>
        <v>Insurance</v>
      </c>
    </row>
    <row r="192" spans="37:40" x14ac:dyDescent="0.25">
      <c r="AK192" t="s">
        <v>874</v>
      </c>
      <c r="AL192" s="11" cm="1">
        <f t="array" ref="AL192">+_xll.BDP(AK192,AL$1)</f>
        <v>3.0795849999999998</v>
      </c>
      <c r="AM192" s="11" t="str" cm="1">
        <f t="array" ref="AM192">+_xll.BDP(AK192,AM$1)</f>
        <v>Communication Services</v>
      </c>
      <c r="AN192" s="11" t="str" cm="1">
        <f t="array" ref="AN192">+_xll.BDP(AK192,AN$1)</f>
        <v>Telecommunications</v>
      </c>
    </row>
    <row r="193" spans="37:40" x14ac:dyDescent="0.25">
      <c r="AK193" t="s">
        <v>838</v>
      </c>
      <c r="AL193" s="11" cm="1">
        <f t="array" ref="AL193">+_xll.BDP(AK193,AL$1)</f>
        <v>-17.22804</v>
      </c>
      <c r="AM193" s="11" t="str" cm="1">
        <f t="array" ref="AM193">+_xll.BDP(AK193,AM$1)</f>
        <v>Industrials</v>
      </c>
      <c r="AN193" s="11" t="str" cm="1">
        <f t="array" ref="AN193">+_xll.BDP(AK193,AN$1)</f>
        <v>Engineering&amp;Construction</v>
      </c>
    </row>
    <row r="194" spans="37:40" x14ac:dyDescent="0.25">
      <c r="AK194" t="s">
        <v>842</v>
      </c>
      <c r="AL194" s="11" cm="1">
        <f t="array" ref="AL194">+_xll.BDP(AK194,AL$1)</f>
        <v>10.041840000000001</v>
      </c>
      <c r="AM194" s="11" t="str" cm="1">
        <f t="array" ref="AM194">+_xll.BDP(AK194,AM$1)</f>
        <v>Materials</v>
      </c>
      <c r="AN194" s="11" t="str" cm="1">
        <f t="array" ref="AN194">+_xll.BDP(AK194,AN$1)</f>
        <v>Building Materials</v>
      </c>
    </row>
    <row r="195" spans="37:40" x14ac:dyDescent="0.25">
      <c r="AK195" t="s">
        <v>744</v>
      </c>
      <c r="AL195" s="11" cm="1">
        <f t="array" ref="AL195">+_xll.BDP(AK195,AL$1)</f>
        <v>13.147410000000001</v>
      </c>
      <c r="AM195" s="11" t="str" cm="1">
        <f t="array" ref="AM195">+_xll.BDP(AK195,AM$1)</f>
        <v>Consumer Staples</v>
      </c>
      <c r="AN195" s="11" t="str" cm="1">
        <f t="array" ref="AN195">+_xll.BDP(AK195,AN$1)</f>
        <v>Food</v>
      </c>
    </row>
    <row r="196" spans="37:40" x14ac:dyDescent="0.25">
      <c r="AK196" t="s">
        <v>691</v>
      </c>
      <c r="AL196" s="11" cm="1">
        <f t="array" ref="AL196">+_xll.BDP(AK196,AL$1)</f>
        <v>-28.823530000000002</v>
      </c>
      <c r="AM196" s="11" t="str" cm="1">
        <f t="array" ref="AM196">+_xll.BDP(AK196,AM$1)</f>
        <v>Industrials</v>
      </c>
      <c r="AN196" s="11" t="str" cm="1">
        <f t="array" ref="AN196">+_xll.BDP(AK196,AN$1)</f>
        <v>Shipbuilding</v>
      </c>
    </row>
    <row r="197" spans="37:40" x14ac:dyDescent="0.25">
      <c r="AK197" t="s">
        <v>844</v>
      </c>
      <c r="AL197" s="11" cm="1">
        <f t="array" ref="AL197">+_xll.BDP(AK197,AL$1)</f>
        <v>-1.6449549999999999</v>
      </c>
      <c r="AM197" s="11" t="str" cm="1">
        <f t="array" ref="AM197">+_xll.BDP(AK197,AM$1)</f>
        <v>Industrials</v>
      </c>
      <c r="AN197" s="11" t="str" cm="1">
        <f t="array" ref="AN197">+_xll.BDP(AK197,AN$1)</f>
        <v>Commercial Services</v>
      </c>
    </row>
    <row r="198" spans="37:40" x14ac:dyDescent="0.25">
      <c r="AK198" t="s">
        <v>873</v>
      </c>
      <c r="AL198" s="11" cm="1">
        <f t="array" ref="AL198">+_xll.BDP(AK198,AL$1)</f>
        <v>26.962520000000001</v>
      </c>
      <c r="AM198" s="11" t="str" cm="1">
        <f t="array" ref="AM198">+_xll.BDP(AK198,AM$1)</f>
        <v>Financials</v>
      </c>
      <c r="AN198" s="11" t="str" cm="1">
        <f t="array" ref="AN198">+_xll.BDP(AK198,AN$1)</f>
        <v>Insurance</v>
      </c>
    </row>
    <row r="199" spans="37:40" x14ac:dyDescent="0.25">
      <c r="AK199" t="s">
        <v>759</v>
      </c>
      <c r="AL199" s="11" cm="1">
        <f t="array" ref="AL199">+_xll.BDP(AK199,AL$1)</f>
        <v>6.0955120000000003</v>
      </c>
      <c r="AM199" s="11" t="str" cm="1">
        <f t="array" ref="AM199">+_xll.BDP(AK199,AM$1)</f>
        <v>Consumer Staples</v>
      </c>
      <c r="AN199" s="11" t="str" cm="1">
        <f t="array" ref="AN199">+_xll.BDP(AK199,AN$1)</f>
        <v>Agriculture</v>
      </c>
    </row>
    <row r="200" spans="37:40" x14ac:dyDescent="0.25">
      <c r="AK200" t="s">
        <v>856</v>
      </c>
      <c r="AL200" s="11" cm="1">
        <f t="array" ref="AL200">+_xll.BDP(AK200,AL$1)</f>
        <v>28.45327</v>
      </c>
      <c r="AM200" s="11" t="str" cm="1">
        <f t="array" ref="AM200">+_xll.BDP(AK200,AM$1)</f>
        <v>Financials</v>
      </c>
      <c r="AN200" s="11" t="str" cm="1">
        <f t="array" ref="AN200">+_xll.BDP(AK200,AN$1)</f>
        <v>Diversified Finan Serv</v>
      </c>
    </row>
    <row r="201" spans="37:40" x14ac:dyDescent="0.25">
      <c r="AK201" t="s">
        <v>870</v>
      </c>
      <c r="AL201" s="11" cm="1">
        <f t="array" ref="AL201">+_xll.BDP(AK201,AL$1)</f>
        <v>5.6930690000000004</v>
      </c>
      <c r="AM201" s="11" t="str" cm="1">
        <f t="array" ref="AM201">+_xll.BDP(AK201,AM$1)</f>
        <v>Utilities</v>
      </c>
      <c r="AN201" s="11" t="str" cm="1">
        <f t="array" ref="AN201">+_xll.BDP(AK201,AN$1)</f>
        <v>Gas</v>
      </c>
    </row>
    <row r="202" spans="37:40" x14ac:dyDescent="0.25">
      <c r="AK202" t="s">
        <v>724</v>
      </c>
      <c r="AL202" s="11" cm="1">
        <f t="array" ref="AL202">+_xll.BDP(AK202,AL$1)</f>
        <v>19.62875</v>
      </c>
      <c r="AM202" s="11" t="str" cm="1">
        <f t="array" ref="AM202">+_xll.BDP(AK202,AM$1)</f>
        <v>Information Technology</v>
      </c>
      <c r="AN202" s="11" t="str" cm="1">
        <f t="array" ref="AN202">+_xll.BDP(AK202,AN$1)</f>
        <v>Office/Business Equip</v>
      </c>
    </row>
    <row r="203" spans="37:40" x14ac:dyDescent="0.25">
      <c r="AK203" t="s">
        <v>769</v>
      </c>
      <c r="AL203" s="11" cm="1">
        <f t="array" ref="AL203">+_xll.BDP(AK203,AL$1)</f>
        <v>33.206829999999997</v>
      </c>
      <c r="AM203" s="11" t="str" cm="1">
        <f t="array" ref="AM203">+_xll.BDP(AK203,AM$1)</f>
        <v>Information Technology</v>
      </c>
      <c r="AN203" s="11" t="str" cm="1">
        <f t="array" ref="AN203">+_xll.BDP(AK203,AN$1)</f>
        <v>Internet</v>
      </c>
    </row>
    <row r="204" spans="37:40" x14ac:dyDescent="0.25">
      <c r="AK204" t="s">
        <v>734</v>
      </c>
      <c r="AL204" s="11" cm="1">
        <f t="array" ref="AL204">+_xll.BDP(AK204,AL$1)</f>
        <v>-22.765599999999999</v>
      </c>
      <c r="AM204" s="11" t="str" cm="1">
        <f t="array" ref="AM204">+_xll.BDP(AK204,AM$1)</f>
        <v>Materials</v>
      </c>
      <c r="AN204" s="11" t="str" cm="1">
        <f t="array" ref="AN204">+_xll.BDP(AK204,AN$1)</f>
        <v>Textiles</v>
      </c>
    </row>
    <row r="205" spans="37:40" x14ac:dyDescent="0.25">
      <c r="AK205" t="s">
        <v>753</v>
      </c>
      <c r="AL205" s="11" cm="1">
        <f t="array" ref="AL205">+_xll.BDP(AK205,AL$1)</f>
        <v>10.314959999999999</v>
      </c>
      <c r="AM205" s="11" t="str" cm="1">
        <f t="array" ref="AM205">+_xll.BDP(AK205,AM$1)</f>
        <v>Materials</v>
      </c>
      <c r="AN205" s="11" t="str" cm="1">
        <f t="array" ref="AN205">+_xll.BDP(AK205,AN$1)</f>
        <v>Packaging&amp;Containers</v>
      </c>
    </row>
    <row r="206" spans="37:40" x14ac:dyDescent="0.25">
      <c r="AK206" t="s">
        <v>787</v>
      </c>
      <c r="AL206" s="11" cm="1">
        <f t="array" ref="AL206">+_xll.BDP(AK206,AL$1)</f>
        <v>23.203589999999998</v>
      </c>
      <c r="AM206" s="11" t="str" cm="1">
        <f t="array" ref="AM206">+_xll.BDP(AK206,AM$1)</f>
        <v>Health Care</v>
      </c>
      <c r="AN206" s="11" t="str" cm="1">
        <f t="array" ref="AN206">+_xll.BDP(AK206,AN$1)</f>
        <v>Pharmaceuticals</v>
      </c>
    </row>
    <row r="207" spans="37:40" x14ac:dyDescent="0.25">
      <c r="AK207" t="s">
        <v>777</v>
      </c>
      <c r="AL207" s="11" cm="1">
        <f t="array" ref="AL207">+_xll.BDP(AK207,AL$1)</f>
        <v>-7.0301289999999996</v>
      </c>
      <c r="AM207" s="11" t="str" cm="1">
        <f t="array" ref="AM207">+_xll.BDP(AK207,AM$1)</f>
        <v>Consumer Discretionary</v>
      </c>
      <c r="AN207" s="11" t="str" cm="1">
        <f t="array" ref="AN207">+_xll.BDP(AK207,AN$1)</f>
        <v>Auto Manufacturers</v>
      </c>
    </row>
    <row r="208" spans="37:40" x14ac:dyDescent="0.25">
      <c r="AK208" t="s">
        <v>723</v>
      </c>
      <c r="AL208" s="11" cm="1">
        <f t="array" ref="AL208">+_xll.BDP(AK208,AL$1)</f>
        <v>38.71866</v>
      </c>
      <c r="AM208" s="11" t="str" cm="1">
        <f t="array" ref="AM208">+_xll.BDP(AK208,AM$1)</f>
        <v>Information Technology</v>
      </c>
      <c r="AN208" s="11" t="str" cm="1">
        <f t="array" ref="AN208">+_xll.BDP(AK208,AN$1)</f>
        <v>Retail</v>
      </c>
    </row>
    <row r="209" spans="37:40" x14ac:dyDescent="0.25">
      <c r="AK209" t="s">
        <v>855</v>
      </c>
      <c r="AL209" s="11" cm="1">
        <f t="array" ref="AL209">+_xll.BDP(AK209,AL$1)</f>
        <v>-2.3755660000000001</v>
      </c>
      <c r="AM209" s="11" t="str" cm="1">
        <f t="array" ref="AM209">+_xll.BDP(AK209,AM$1)</f>
        <v>Consumer Staples</v>
      </c>
      <c r="AN209" s="11" t="str" cm="1">
        <f t="array" ref="AN209">+_xll.BDP(AK209,AN$1)</f>
        <v>Food</v>
      </c>
    </row>
    <row r="210" spans="37:40" x14ac:dyDescent="0.25">
      <c r="AK210" t="s">
        <v>866</v>
      </c>
      <c r="AL210" s="11" cm="1">
        <f t="array" ref="AL210">+_xll.BDP(AK210,AL$1)</f>
        <v>12.29698</v>
      </c>
      <c r="AM210" s="11" t="str" cm="1">
        <f t="array" ref="AM210">+_xll.BDP(AK210,AM$1)</f>
        <v>Utilities</v>
      </c>
      <c r="AN210" s="11" t="str" cm="1">
        <f t="array" ref="AN210">+_xll.BDP(AK210,AN$1)</f>
        <v>Electric</v>
      </c>
    </row>
    <row r="211" spans="37:40" x14ac:dyDescent="0.25">
      <c r="AK211" t="s">
        <v>743</v>
      </c>
      <c r="AL211" s="11" cm="1">
        <f t="array" ref="AL211">+_xll.BDP(AK211,AL$1)</f>
        <v>-11.3226</v>
      </c>
      <c r="AM211" s="11" t="str" cm="1">
        <f t="array" ref="AM211">+_xll.BDP(AK211,AM$1)</f>
        <v>Consumer Staples</v>
      </c>
      <c r="AN211" s="11" t="str" cm="1">
        <f t="array" ref="AN211">+_xll.BDP(AK211,AN$1)</f>
        <v>Beverages</v>
      </c>
    </row>
    <row r="212" spans="37:40" x14ac:dyDescent="0.25">
      <c r="AK212" t="s">
        <v>671</v>
      </c>
      <c r="AL212" s="11" cm="1">
        <f t="array" ref="AL212">+_xll.BDP(AK212,AL$1)</f>
        <v>11.14983</v>
      </c>
      <c r="AM212" s="11" t="str" cm="1">
        <f t="array" ref="AM212">+_xll.BDP(AK212,AM$1)</f>
        <v>Consumer Discretionary</v>
      </c>
      <c r="AN212" s="11" t="str" cm="1">
        <f t="array" ref="AN212">+_xll.BDP(AK212,AN$1)</f>
        <v>Auto Manufacturers</v>
      </c>
    </row>
    <row r="213" spans="37:40" x14ac:dyDescent="0.25">
      <c r="AK213" t="s">
        <v>662</v>
      </c>
      <c r="AL213" s="11" cm="1">
        <f t="array" ref="AL213">+_xll.BDP(AK213,AL$1)</f>
        <v>8.8568940000000005</v>
      </c>
      <c r="AM213" s="11" t="str" cm="1">
        <f t="array" ref="AM213">+_xll.BDP(AK213,AM$1)</f>
        <v>Industrials</v>
      </c>
      <c r="AN213" s="11" t="str" cm="1">
        <f t="array" ref="AN213">+_xll.BDP(AK213,AN$1)</f>
        <v>Airlines</v>
      </c>
    </row>
    <row r="214" spans="37:40" x14ac:dyDescent="0.25">
      <c r="AK214" t="s">
        <v>809</v>
      </c>
      <c r="AL214" s="11" cm="1">
        <f t="array" ref="AL214">+_xll.BDP(AK214,AL$1)</f>
        <v>6.0675629999999998</v>
      </c>
      <c r="AM214" s="11" t="str" cm="1">
        <f t="array" ref="AM214">+_xll.BDP(AK214,AM$1)</f>
        <v>Industrials</v>
      </c>
      <c r="AN214" s="11" t="str" cm="1">
        <f t="array" ref="AN214">+_xll.BDP(AK214,AN$1)</f>
        <v>Transportation</v>
      </c>
    </row>
    <row r="215" spans="37:40" x14ac:dyDescent="0.25">
      <c r="AK215" t="s">
        <v>819</v>
      </c>
      <c r="AL215" s="11" cm="1">
        <f t="array" ref="AL215">+_xll.BDP(AK215,AL$1)</f>
        <v>-16.960750000000001</v>
      </c>
      <c r="AM215" s="11" t="str" cm="1">
        <f t="array" ref="AM215">+_xll.BDP(AK215,AM$1)</f>
        <v>Consumer Staples</v>
      </c>
      <c r="AN215" s="11" t="str" cm="1">
        <f t="array" ref="AN215">+_xll.BDP(AK215,AN$1)</f>
        <v>Food</v>
      </c>
    </row>
    <row r="216" spans="37:40" x14ac:dyDescent="0.25">
      <c r="AK216" t="s">
        <v>814</v>
      </c>
      <c r="AL216" s="11" cm="1">
        <f t="array" ref="AL216">+_xll.BDP(AK216,AL$1)</f>
        <v>-22.57225</v>
      </c>
      <c r="AM216" s="11" t="str" cm="1">
        <f t="array" ref="AM216">+_xll.BDP(AK216,AM$1)</f>
        <v>Health Care</v>
      </c>
      <c r="AN216" s="11" t="str" cm="1">
        <f t="array" ref="AN216">+_xll.BDP(AK216,AN$1)</f>
        <v>Pharmaceuticals</v>
      </c>
    </row>
    <row r="217" spans="37:40" x14ac:dyDescent="0.25">
      <c r="AK217" t="s">
        <v>821</v>
      </c>
      <c r="AL217" s="11" cm="1">
        <f t="array" ref="AL217">+_xll.BDP(AK217,AL$1)</f>
        <v>20.16995</v>
      </c>
      <c r="AM217" s="11" t="str" cm="1">
        <f t="array" ref="AM217">+_xll.BDP(AK217,AM$1)</f>
        <v>Industrials</v>
      </c>
      <c r="AN217" s="11" t="str" cm="1">
        <f t="array" ref="AN217">+_xll.BDP(AK217,AN$1)</f>
        <v>Commercial Services</v>
      </c>
    </row>
    <row r="218" spans="37:40" x14ac:dyDescent="0.25">
      <c r="AK218" t="s">
        <v>820</v>
      </c>
      <c r="AL218" s="11" cm="1">
        <f t="array" ref="AL218">+_xll.BDP(AK218,AL$1)</f>
        <v>-4.1302839999999996</v>
      </c>
      <c r="AM218" s="11" t="str" cm="1">
        <f t="array" ref="AM218">+_xll.BDP(AK218,AM$1)</f>
        <v>Industrials</v>
      </c>
      <c r="AN218" s="11" t="str" cm="1">
        <f t="array" ref="AN218">+_xll.BDP(AK218,AN$1)</f>
        <v>Transportation</v>
      </c>
    </row>
    <row r="219" spans="37:40" x14ac:dyDescent="0.25">
      <c r="AK219" t="s">
        <v>863</v>
      </c>
      <c r="AL219" s="11" cm="1">
        <f t="array" ref="AL219">+_xll.BDP(AK219,AL$1)</f>
        <v>3.3192249999999999</v>
      </c>
      <c r="AM219" s="11" t="str" cm="1">
        <f t="array" ref="AM219">+_xll.BDP(AK219,AM$1)</f>
        <v>Utilities</v>
      </c>
      <c r="AN219" s="11" t="str" cm="1">
        <f t="array" ref="AN219">+_xll.BDP(AK219,AN$1)</f>
        <v>Gas</v>
      </c>
    </row>
    <row r="220" spans="37:40" x14ac:dyDescent="0.25">
      <c r="AK220" t="s">
        <v>875</v>
      </c>
      <c r="AL220" s="11" cm="1">
        <f t="array" ref="AL220">+_xll.BDP(AK220,AL$1)</f>
        <v>-6.1493409999999997</v>
      </c>
      <c r="AM220" s="11" t="str" cm="1">
        <f t="array" ref="AM220">+_xll.BDP(AK220,AM$1)</f>
        <v>Consumer Staples</v>
      </c>
      <c r="AN220" s="11" t="str" cm="1">
        <f t="array" ref="AN220">+_xll.BDP(AK220,AN$1)</f>
        <v>Food</v>
      </c>
    </row>
    <row r="221" spans="37:40" x14ac:dyDescent="0.25">
      <c r="AK221" t="s">
        <v>862</v>
      </c>
      <c r="AL221" s="11" cm="1">
        <f t="array" ref="AL221">+_xll.BDP(AK221,AL$1)</f>
        <v>0.96339109999999994</v>
      </c>
      <c r="AM221" s="11" t="str" cm="1">
        <f t="array" ref="AM221">+_xll.BDP(AK221,AM$1)</f>
        <v>Utilities</v>
      </c>
      <c r="AN221" s="11" t="str" cm="1">
        <f t="array" ref="AN221">+_xll.BDP(AK221,AN$1)</f>
        <v>Electric</v>
      </c>
    </row>
    <row r="222" spans="37:40" x14ac:dyDescent="0.25">
      <c r="AK222" t="s">
        <v>755</v>
      </c>
      <c r="AL222" s="11" cm="1">
        <f t="array" ref="AL222">+_xll.BDP(AK222,AL$1)</f>
        <v>19.46508</v>
      </c>
      <c r="AM222" s="11" t="str" cm="1">
        <f t="array" ref="AM222">+_xll.BDP(AK222,AM$1)</f>
        <v>Industrials</v>
      </c>
      <c r="AN222" s="11" t="str" cm="1">
        <f t="array" ref="AN222">+_xll.BDP(AK222,AN$1)</f>
        <v>Transportation</v>
      </c>
    </row>
    <row r="223" spans="37:40" x14ac:dyDescent="0.25">
      <c r="AK223" t="s">
        <v>861</v>
      </c>
      <c r="AL223" s="11" cm="1">
        <f t="array" ref="AL223">+_xll.BDP(AK223,AL$1)</f>
        <v>-18.330729999999999</v>
      </c>
      <c r="AM223" s="11" t="str" cm="1">
        <f t="array" ref="AM223">+_xll.BDP(AK223,AM$1)</f>
        <v>Materials</v>
      </c>
      <c r="AN223" s="11" t="str" cm="1">
        <f t="array" ref="AN223">+_xll.BDP(AK223,AN$1)</f>
        <v>Forest Products&amp;Paper</v>
      </c>
    </row>
    <row r="224" spans="37:40" x14ac:dyDescent="0.25">
      <c r="AK224" t="s">
        <v>836</v>
      </c>
      <c r="AL224" s="11" cm="1">
        <f t="array" ref="AL224">+_xll.BDP(AK224,AL$1)</f>
        <v>-27.088000000000001</v>
      </c>
      <c r="AM224" s="11" t="str" cm="1">
        <f t="array" ref="AM224">+_xll.BDP(AK224,AM$1)</f>
        <v>Consumer Staples</v>
      </c>
      <c r="AN224" s="11" t="str" cm="1">
        <f t="array" ref="AN224">+_xll.BDP(AK224,AN$1)</f>
        <v>Cosmetics/Personal Care</v>
      </c>
    </row>
    <row r="225" spans="37:40" x14ac:dyDescent="0.25">
      <c r="AK225" t="s">
        <v>766</v>
      </c>
      <c r="AL225" s="11" cm="1">
        <f t="array" ref="AL225">+_xll.BDP(AK225,AL$1)</f>
        <v>-11.911949999999999</v>
      </c>
      <c r="AM225" s="11" t="str" cm="1">
        <f t="array" ref="AM225">+_xll.BDP(AK225,AM$1)</f>
        <v>Industrials</v>
      </c>
      <c r="AN225" s="11" t="str" cm="1">
        <f t="array" ref="AN225">+_xll.BDP(AK225,AN$1)</f>
        <v>Transportation</v>
      </c>
    </row>
    <row r="226" spans="37:40" x14ac:dyDescent="0.25">
      <c r="AK226" t="s">
        <v>857</v>
      </c>
      <c r="AL226" s="11" cm="1">
        <f t="array" ref="AL226">+_xll.BDP(AK226,AL$1)</f>
        <v>7.37941</v>
      </c>
      <c r="AM226" s="11" t="str" cm="1">
        <f t="array" ref="AM226">+_xll.BDP(AK226,AM$1)</f>
        <v>Industrials</v>
      </c>
      <c r="AN226" s="11" t="str" cm="1">
        <f t="array" ref="AN226">+_xll.BDP(AK226,AN$1)</f>
        <v>Transportation</v>
      </c>
    </row>
  </sheetData>
  <sortState ref="AW4:AX27">
    <sortCondition ref="AW4:AW31"/>
  </sortState>
  <phoneticPr fontId="42" type="noConversion"/>
  <conditionalFormatting sqref="C84:G84 D83:G83">
    <cfRule type="cellIs" dxfId="89" priority="965" operator="equal">
      <formula>V$31</formula>
    </cfRule>
    <cfRule type="cellIs" dxfId="88" priority="966" operator="equal">
      <formula>V$29</formula>
    </cfRule>
    <cfRule type="cellIs" dxfId="87" priority="967" operator="equal">
      <formula>V$30</formula>
    </cfRule>
    <cfRule type="cellIs" dxfId="86" priority="968" operator="equal">
      <formula>V$28</formula>
    </cfRule>
  </conditionalFormatting>
  <conditionalFormatting sqref="M54:O55">
    <cfRule type="cellIs" dxfId="85" priority="121" operator="equal">
      <formula>M$60</formula>
    </cfRule>
    <cfRule type="cellIs" dxfId="84" priority="122" operator="equal">
      <formula>M$59</formula>
    </cfRule>
  </conditionalFormatting>
  <conditionalFormatting sqref="P54:S55">
    <cfRule type="cellIs" dxfId="83" priority="117" operator="equal">
      <formula>N$60</formula>
    </cfRule>
    <cfRule type="cellIs" dxfId="82" priority="118" operator="equal">
      <formula>N$59</formula>
    </cfRule>
  </conditionalFormatting>
  <conditionalFormatting sqref="C83">
    <cfRule type="cellIs" dxfId="81" priority="115" operator="equal">
      <formula>C$60</formula>
    </cfRule>
    <cfRule type="cellIs" dxfId="80" priority="116" operator="equal">
      <formula>C$59</formula>
    </cfRule>
  </conditionalFormatting>
  <conditionalFormatting sqref="C4:C17">
    <cfRule type="cellIs" dxfId="79" priority="938" operator="equal">
      <formula>C$29</formula>
    </cfRule>
    <cfRule type="cellIs" dxfId="78" priority="940" operator="equal">
      <formula>C$28</formula>
    </cfRule>
  </conditionalFormatting>
  <conditionalFormatting sqref="C20:C25">
    <cfRule type="cellIs" dxfId="77" priority="109" operator="equal">
      <formula>C$31</formula>
    </cfRule>
    <cfRule type="cellIs" dxfId="76" priority="110" operator="equal">
      <formula>C$30</formula>
    </cfRule>
  </conditionalFormatting>
  <conditionalFormatting sqref="N72:N85">
    <cfRule type="cellIs" dxfId="75" priority="107" operator="equal">
      <formula>V$29</formula>
    </cfRule>
    <cfRule type="cellIs" dxfId="74" priority="108" operator="equal">
      <formula>V$28</formula>
    </cfRule>
  </conditionalFormatting>
  <conditionalFormatting sqref="N88:N93">
    <cfRule type="cellIs" dxfId="73" priority="105" operator="equal">
      <formula>V$31</formula>
    </cfRule>
    <cfRule type="cellIs" dxfId="72" priority="106" operator="equal">
      <formula>V$30</formula>
    </cfRule>
  </conditionalFormatting>
  <conditionalFormatting sqref="M4:M17">
    <cfRule type="cellIs" dxfId="71" priority="103" operator="equal">
      <formula>M$29</formula>
    </cfRule>
    <cfRule type="cellIs" dxfId="70" priority="104" operator="equal">
      <formula>M$28</formula>
    </cfRule>
  </conditionalFormatting>
  <conditionalFormatting sqref="M20:M25">
    <cfRule type="cellIs" dxfId="69" priority="101" operator="equal">
      <formula>M$31</formula>
    </cfRule>
    <cfRule type="cellIs" dxfId="68" priority="102" operator="equal">
      <formula>M$30</formula>
    </cfRule>
  </conditionalFormatting>
  <conditionalFormatting sqref="O88:R93">
    <cfRule type="cellIs" dxfId="67" priority="89" operator="equal">
      <formula>W$31</formula>
    </cfRule>
    <cfRule type="cellIs" dxfId="66" priority="90" operator="equal">
      <formula>W$30</formula>
    </cfRule>
  </conditionalFormatting>
  <conditionalFormatting sqref="D4:G17">
    <cfRule type="cellIs" dxfId="65" priority="99" operator="equal">
      <formula>D$29</formula>
    </cfRule>
    <cfRule type="cellIs" dxfId="64" priority="100" operator="equal">
      <formula>D$28</formula>
    </cfRule>
  </conditionalFormatting>
  <conditionalFormatting sqref="D20:G25">
    <cfRule type="cellIs" dxfId="63" priority="97" operator="equal">
      <formula>D$31</formula>
    </cfRule>
    <cfRule type="cellIs" dxfId="62" priority="98" operator="equal">
      <formula>D$30</formula>
    </cfRule>
  </conditionalFormatting>
  <conditionalFormatting sqref="N4:Q17">
    <cfRule type="cellIs" dxfId="61" priority="95" operator="equal">
      <formula>N$29</formula>
    </cfRule>
    <cfRule type="cellIs" dxfId="60" priority="96" operator="equal">
      <formula>N$28</formula>
    </cfRule>
  </conditionalFormatting>
  <conditionalFormatting sqref="N20:Q25">
    <cfRule type="cellIs" dxfId="59" priority="93" operator="equal">
      <formula>N$31</formula>
    </cfRule>
    <cfRule type="cellIs" dxfId="58" priority="94" operator="equal">
      <formula>N$30</formula>
    </cfRule>
  </conditionalFormatting>
  <conditionalFormatting sqref="O72:R85">
    <cfRule type="cellIs" dxfId="57" priority="91" operator="equal">
      <formula>W$29</formula>
    </cfRule>
    <cfRule type="cellIs" dxfId="56" priority="92" operator="equal">
      <formula>W$28</formula>
    </cfRule>
  </conditionalFormatting>
  <conditionalFormatting sqref="C49 C53:C57 C82:C84">
    <cfRule type="cellIs" dxfId="55" priority="82" operator="equal">
      <formula>C$60</formula>
    </cfRule>
  </conditionalFormatting>
  <conditionalFormatting sqref="C71:C74">
    <cfRule type="cellIs" dxfId="54" priority="77" operator="equal">
      <formula>V$60</formula>
    </cfRule>
    <cfRule type="cellIs" dxfId="53" priority="78" operator="equal">
      <formula>V$59</formula>
    </cfRule>
  </conditionalFormatting>
  <conditionalFormatting sqref="D71:G72">
    <cfRule type="cellIs" dxfId="52" priority="76" operator="equal">
      <formula>W$59</formula>
    </cfRule>
  </conditionalFormatting>
  <conditionalFormatting sqref="D71:G74">
    <cfRule type="cellIs" dxfId="51" priority="74" operator="equal">
      <formula>W$60</formula>
    </cfRule>
  </conditionalFormatting>
  <conditionalFormatting sqref="C76:C79">
    <cfRule type="cellIs" dxfId="50" priority="72" operator="equal">
      <formula>V$63</formula>
    </cfRule>
    <cfRule type="cellIs" dxfId="49" priority="73" operator="equal">
      <formula>V$62</formula>
    </cfRule>
  </conditionalFormatting>
  <conditionalFormatting sqref="D76:G77">
    <cfRule type="cellIs" dxfId="48" priority="71" operator="equal">
      <formula>W$62</formula>
    </cfRule>
  </conditionalFormatting>
  <conditionalFormatting sqref="D76:G79">
    <cfRule type="cellIs" dxfId="47" priority="69" operator="equal">
      <formula>W$63</formula>
    </cfRule>
  </conditionalFormatting>
  <conditionalFormatting sqref="D88:G95">
    <cfRule type="cellIs" dxfId="46" priority="67" operator="equal">
      <formula>W$66</formula>
    </cfRule>
    <cfRule type="cellIs" dxfId="45" priority="68" operator="equal">
      <formula>W$65</formula>
    </cfRule>
  </conditionalFormatting>
  <conditionalFormatting sqref="M56">
    <cfRule type="cellIs" dxfId="44" priority="16" operator="equal">
      <formula>M$29</formula>
    </cfRule>
    <cfRule type="cellIs" dxfId="43" priority="17" operator="equal">
      <formula>M$28</formula>
    </cfRule>
  </conditionalFormatting>
  <conditionalFormatting sqref="P56:S56">
    <cfRule type="cellIs" dxfId="42" priority="14" operator="equal">
      <formula>N$29</formula>
    </cfRule>
    <cfRule type="cellIs" dxfId="41" priority="15" operator="equal">
      <formula>N$28</formula>
    </cfRule>
  </conditionalFormatting>
  <conditionalFormatting sqref="A48">
    <cfRule type="cellIs" dxfId="40" priority="13" operator="equal">
      <formula>A$60</formula>
    </cfRule>
  </conditionalFormatting>
  <conditionalFormatting sqref="C83">
    <cfRule type="cellIs" dxfId="39" priority="12" operator="equal">
      <formula>C$59</formula>
    </cfRule>
  </conditionalFormatting>
  <conditionalFormatting sqref="C84">
    <cfRule type="cellIs" dxfId="38" priority="11" operator="equal">
      <formula>C$59</formula>
    </cfRule>
  </conditionalFormatting>
  <conditionalFormatting sqref="F48:I48">
    <cfRule type="cellIs" dxfId="37" priority="969" operator="equal">
      <formula>D$60</formula>
    </cfRule>
  </conditionalFormatting>
  <conditionalFormatting sqref="N56:O56">
    <cfRule type="cellIs" dxfId="36" priority="9" operator="equal">
      <formula>N$60</formula>
    </cfRule>
    <cfRule type="cellIs" dxfId="35" priority="10" operator="equal">
      <formula>N$59</formula>
    </cfRule>
  </conditionalFormatting>
  <conditionalFormatting sqref="M37:S53">
    <cfRule type="cellIs" dxfId="34" priority="1" operator="equal">
      <formula>M$60</formula>
    </cfRule>
    <cfRule type="cellIs" dxfId="33" priority="2" operator="equal">
      <formula>M$59</formula>
    </cfRule>
  </conditionalFormatting>
  <conditionalFormatting sqref="C37:I38 F39:I47 C39:E48">
    <cfRule type="cellIs" dxfId="32" priority="3" operator="equal">
      <formula>C$60</formula>
    </cfRule>
    <cfRule type="cellIs" dxfId="31" priority="4" operator="equal">
      <formula>C$59</formula>
    </cfRule>
  </conditionalFormatting>
  <pageMargins left="0.7" right="0.7" top="0.75" bottom="0.75" header="0.3" footer="0.3"/>
  <pageSetup paperSize="9" scale="6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K38"/>
  <sheetViews>
    <sheetView showGridLines="0" workbookViewId="0">
      <selection activeCell="K37" sqref="K37"/>
    </sheetView>
  </sheetViews>
  <sheetFormatPr defaultColWidth="9.140625" defaultRowHeight="15" x14ac:dyDescent="0.25"/>
  <cols>
    <col min="1" max="1" width="9.140625" style="26"/>
    <col min="2" max="2" width="19.7109375" style="26" customWidth="1"/>
    <col min="3" max="3" width="34.5703125" style="26" customWidth="1"/>
    <col min="4" max="7" width="10.85546875" style="26" customWidth="1"/>
    <col min="8" max="8" width="19" style="26" bestFit="1" customWidth="1"/>
    <col min="9" max="13" width="11.42578125" style="26" bestFit="1" customWidth="1"/>
    <col min="14" max="16384" width="9.140625" style="26"/>
  </cols>
  <sheetData>
    <row r="1" spans="1:11" x14ac:dyDescent="0.25">
      <c r="A1" s="57"/>
      <c r="B1" s="57"/>
      <c r="C1" s="57" t="s">
        <v>408</v>
      </c>
      <c r="D1" s="57" t="s">
        <v>409</v>
      </c>
      <c r="E1" s="57" t="s">
        <v>410</v>
      </c>
      <c r="F1" s="57" t="s">
        <v>411</v>
      </c>
      <c r="G1" s="57"/>
      <c r="H1" s="57" t="s">
        <v>412</v>
      </c>
      <c r="I1" s="57" t="s">
        <v>413</v>
      </c>
      <c r="J1" s="57" t="s">
        <v>414</v>
      </c>
      <c r="K1" s="57" t="s">
        <v>415</v>
      </c>
    </row>
    <row r="2" spans="1:11" x14ac:dyDescent="0.25">
      <c r="A2" s="26" t="s">
        <v>416</v>
      </c>
      <c r="B2" s="26" t="s">
        <v>417</v>
      </c>
      <c r="C2" s="26" t="str">
        <f>+_xll.BDP(B2,C$1)</f>
        <v>SPDR S&amp;P 500 ETF TRUST</v>
      </c>
      <c r="D2" s="55">
        <f>+I2/$H2</f>
        <v>1.3678071249408064E-3</v>
      </c>
      <c r="E2" s="55">
        <f t="shared" ref="E2:F6" si="0">+J2/$H2</f>
        <v>1.5435903807004564E-4</v>
      </c>
      <c r="F2" s="55">
        <f t="shared" si="0"/>
        <v>-6.2156550234320285E-3</v>
      </c>
      <c r="G2" s="56"/>
      <c r="H2" s="26">
        <f>+_xll.BDP($B2,H$1)</f>
        <v>396672.59375</v>
      </c>
      <c r="I2" s="26">
        <f>+_xll.BDP($B2,I$1)</f>
        <v>542.57159999999999</v>
      </c>
      <c r="J2" s="26">
        <f>+_xll.BDP($B2,J$1)</f>
        <v>61.23</v>
      </c>
      <c r="K2" s="26">
        <f>+_xll.BDP($B2,K$1)</f>
        <v>-2465.58</v>
      </c>
    </row>
    <row r="3" spans="1:11" x14ac:dyDescent="0.25">
      <c r="B3" s="26" t="s">
        <v>418</v>
      </c>
      <c r="C3" s="26" t="str">
        <f>+_xll.BDP(B3,C$1)</f>
        <v>ISHARES CORE S&amp;P 500 ETF</v>
      </c>
      <c r="D3" s="55">
        <f t="shared" ref="D3:D6" si="1">+I3/$H3</f>
        <v>2.1268630891012669E-4</v>
      </c>
      <c r="E3" s="55">
        <f t="shared" si="0"/>
        <v>-7.1400861503786398E-4</v>
      </c>
      <c r="F3" s="55">
        <f t="shared" si="0"/>
        <v>-1.2684448089277601E-3</v>
      </c>
      <c r="G3" s="56"/>
      <c r="H3" s="26">
        <f>+_xll.BDP($B3,H$1)</f>
        <v>311018.65625</v>
      </c>
      <c r="I3" s="26">
        <f>+_xll.BDP($B3,I$1)</f>
        <v>66.149410000000003</v>
      </c>
      <c r="J3" s="26">
        <f>+_xll.BDP($B3,J$1)</f>
        <v>-222.07</v>
      </c>
      <c r="K3" s="26">
        <f>+_xll.BDP($B3,K$1)</f>
        <v>-394.51</v>
      </c>
    </row>
    <row r="4" spans="1:11" x14ac:dyDescent="0.25">
      <c r="B4" s="26" t="s">
        <v>419</v>
      </c>
      <c r="C4" s="26" t="str">
        <f>+_xll.BDP(B4,C$1)</f>
        <v>VANGUARD TOTAL STOCK MKT ETF</v>
      </c>
      <c r="D4" s="55">
        <f t="shared" si="1"/>
        <v>2.4931910929358917E-5</v>
      </c>
      <c r="E4" s="55">
        <f t="shared" si="0"/>
        <v>5.6806917979803979E-5</v>
      </c>
      <c r="F4" s="55">
        <f t="shared" si="0"/>
        <v>-4.8222052285103271E-4</v>
      </c>
      <c r="G4" s="56"/>
      <c r="H4" s="26">
        <f>+_xll.BDP($B4,H$1)</f>
        <v>282007.90625</v>
      </c>
      <c r="I4" s="26">
        <f>+_xll.BDP($B4,I$1)</f>
        <v>7.030996</v>
      </c>
      <c r="J4" s="26">
        <f>+_xll.BDP($B4,J$1)</f>
        <v>16.02</v>
      </c>
      <c r="K4" s="26">
        <f>+_xll.BDP($B4,K$1)</f>
        <v>-135.99</v>
      </c>
    </row>
    <row r="5" spans="1:11" x14ac:dyDescent="0.25">
      <c r="B5" s="26" t="s">
        <v>420</v>
      </c>
      <c r="C5" s="26" t="str">
        <f>+_xll.BDP(B5,C$1)</f>
        <v>VANGUARD S&amp;P 500 ETF</v>
      </c>
      <c r="D5" s="55">
        <f t="shared" si="1"/>
        <v>3.1398179082799653E-4</v>
      </c>
      <c r="E5" s="55">
        <f t="shared" si="0"/>
        <v>1.3007893465614082E-3</v>
      </c>
      <c r="F5" s="55">
        <f t="shared" si="0"/>
        <v>4.0568388468476105E-4</v>
      </c>
      <c r="G5" s="56"/>
      <c r="H5" s="26">
        <f>+_xll.BDP($B5,H$1)</f>
        <v>271442.875</v>
      </c>
      <c r="I5" s="26">
        <f>+_xll.BDP($B5,I$1)</f>
        <v>85.228120000000004</v>
      </c>
      <c r="J5" s="26">
        <f>+_xll.BDP($B5,J$1)</f>
        <v>353.09</v>
      </c>
      <c r="K5" s="26">
        <f>+_xll.BDP($B5,K$1)</f>
        <v>110.12</v>
      </c>
    </row>
    <row r="6" spans="1:11" x14ac:dyDescent="0.25">
      <c r="B6" s="26" t="s">
        <v>421</v>
      </c>
      <c r="C6" s="26" t="str">
        <f>+_xll.BDP(B6,C$1)</f>
        <v>VANGUARD FTSE DEVELOPED ETF</v>
      </c>
      <c r="D6" s="55">
        <f t="shared" si="1"/>
        <v>1.8954319823606485E-4</v>
      </c>
      <c r="E6" s="55">
        <f t="shared" si="0"/>
        <v>-4.601290014315691E-4</v>
      </c>
      <c r="F6" s="55">
        <f t="shared" si="0"/>
        <v>1.9834001773980196E-3</v>
      </c>
      <c r="G6" s="56"/>
      <c r="H6" s="26">
        <f>+_xll.BDP($B6,H$1)</f>
        <v>104840.1640625</v>
      </c>
      <c r="I6" s="26">
        <f>+_xll.BDP($B6,I$1)</f>
        <v>19.871739999999999</v>
      </c>
      <c r="J6" s="26">
        <f>+_xll.BDP($B6,J$1)</f>
        <v>-48.24</v>
      </c>
      <c r="K6" s="26">
        <f>+_xll.BDP($B6,K$1)</f>
        <v>207.94</v>
      </c>
    </row>
    <row r="7" spans="1:11" ht="12" customHeight="1" x14ac:dyDescent="0.25">
      <c r="D7" s="55"/>
      <c r="E7" s="55"/>
      <c r="F7" s="55"/>
    </row>
    <row r="8" spans="1:11" x14ac:dyDescent="0.25">
      <c r="A8" s="26" t="s">
        <v>422</v>
      </c>
      <c r="B8" s="26" t="s">
        <v>423</v>
      </c>
      <c r="C8" s="26" t="str">
        <f>+_xll.BDP(B8,C$1)</f>
        <v>ISHARES CORE U.S. AGGREGATE</v>
      </c>
      <c r="D8" s="55">
        <f>+I8/$H8</f>
        <v>9.9568798823593095E-5</v>
      </c>
      <c r="E8" s="55">
        <f t="shared" ref="E8:F13" si="2">+J8/$H8</f>
        <v>9.1254773038166009E-4</v>
      </c>
      <c r="F8" s="55">
        <f t="shared" si="2"/>
        <v>-5.4764998766122764E-4</v>
      </c>
      <c r="G8" s="56"/>
      <c r="H8" s="26">
        <f>+_xll.BDP($B8,H$1)</f>
        <v>82406.6484375</v>
      </c>
      <c r="I8" s="26">
        <f>+_xll.BDP($B8,I$1)</f>
        <v>8.2051309999999997</v>
      </c>
      <c r="J8" s="26">
        <f>+_xll.BDP($B8,J$1)</f>
        <v>75.2</v>
      </c>
      <c r="K8" s="26">
        <f>+_xll.BDP($B8,K$1)</f>
        <v>-45.13</v>
      </c>
    </row>
    <row r="9" spans="1:11" x14ac:dyDescent="0.25">
      <c r="B9" s="26" t="s">
        <v>424</v>
      </c>
      <c r="C9" s="26" t="str">
        <f>+_xll.BDP(B9,C$1)</f>
        <v>VANGUARD TOTAL BOND MARKET</v>
      </c>
      <c r="D9" s="55">
        <f t="shared" ref="D9:D13" si="3">+I9/$H9</f>
        <v>4.1713985970183627E-4</v>
      </c>
      <c r="E9" s="55">
        <f t="shared" si="2"/>
        <v>1.6075946276205531E-3</v>
      </c>
      <c r="F9" s="55">
        <f t="shared" si="2"/>
        <v>2.8339646136231657E-2</v>
      </c>
      <c r="G9" s="56"/>
      <c r="H9" s="26">
        <f>+_xll.BDP($B9,H$1)</f>
        <v>80947.0234375</v>
      </c>
      <c r="I9" s="26">
        <f>+_xll.BDP($B9,I$1)</f>
        <v>33.76623</v>
      </c>
      <c r="J9" s="26">
        <f>+_xll.BDP($B9,J$1)</f>
        <v>130.13</v>
      </c>
      <c r="K9" s="26">
        <f>+_xll.BDP($B9,K$1)</f>
        <v>2294.0100000000002</v>
      </c>
    </row>
    <row r="10" spans="1:11" x14ac:dyDescent="0.25">
      <c r="B10" s="26" t="s">
        <v>425</v>
      </c>
      <c r="C10" s="26" t="str">
        <f>+_xll.BDP(B10,C$1)</f>
        <v>ISHARES IBOXX INVESTMENT GRA</v>
      </c>
      <c r="D10" s="55">
        <f t="shared" si="3"/>
        <v>-2.7221696052837432E-3</v>
      </c>
      <c r="E10" s="55">
        <f t="shared" si="2"/>
        <v>-9.3326169026865073E-3</v>
      </c>
      <c r="F10" s="55">
        <f t="shared" si="2"/>
        <v>5.2760119336154451E-3</v>
      </c>
      <c r="G10" s="56"/>
      <c r="H10" s="26">
        <f>+_xll.BDP($B10,H$1)</f>
        <v>32983.24609375</v>
      </c>
      <c r="I10" s="26">
        <f>+_xll.BDP($B10,I$1)</f>
        <v>-89.785989999999998</v>
      </c>
      <c r="J10" s="26">
        <f>+_xll.BDP($B10,J$1)</f>
        <v>-307.82</v>
      </c>
      <c r="K10" s="26">
        <f>+_xll.BDP($B10,K$1)</f>
        <v>174.02</v>
      </c>
    </row>
    <row r="11" spans="1:11" x14ac:dyDescent="0.25">
      <c r="B11" s="26" t="s">
        <v>426</v>
      </c>
      <c r="C11" s="26" t="str">
        <f>+_xll.BDP(B11,C$1)</f>
        <v>ISHARES TIPS BOND ETF</v>
      </c>
      <c r="D11" s="55">
        <f t="shared" si="3"/>
        <v>-5.7881775549626854E-3</v>
      </c>
      <c r="E11" s="55">
        <f t="shared" si="2"/>
        <v>-1.2521664074333376E-2</v>
      </c>
      <c r="F11" s="55">
        <f t="shared" si="2"/>
        <v>-2.0043259673436269E-2</v>
      </c>
      <c r="G11" s="56"/>
      <c r="H11" s="26">
        <f>+_xll.BDP($B11,H$1)</f>
        <v>32801.55078125</v>
      </c>
      <c r="I11" s="26">
        <f>+_xll.BDP($B11,I$1)</f>
        <v>-189.8612</v>
      </c>
      <c r="J11" s="26">
        <f>+_xll.BDP($B11,J$1)</f>
        <v>-410.73</v>
      </c>
      <c r="K11" s="26">
        <f>+_xll.BDP($B11,K$1)</f>
        <v>-657.45</v>
      </c>
    </row>
    <row r="12" spans="1:11" x14ac:dyDescent="0.25">
      <c r="B12" s="26" t="s">
        <v>427</v>
      </c>
      <c r="C12" s="26" t="str">
        <f>+_xll.BDP(B12,C$1)</f>
        <v>ISHARES 3-7 YEAR TREASURY BO</v>
      </c>
      <c r="D12" s="55">
        <f t="shared" si="3"/>
        <v>-8.6687183389304431E-4</v>
      </c>
      <c r="E12" s="55">
        <f t="shared" si="2"/>
        <v>-6.7949002478662288E-4</v>
      </c>
      <c r="F12" s="55">
        <f t="shared" si="2"/>
        <v>-6.4509929688586043E-2</v>
      </c>
      <c r="G12" s="56"/>
      <c r="H12" s="26">
        <f>+_xll.BDP($B12,H$1)</f>
        <v>9610.1484375</v>
      </c>
      <c r="I12" s="26">
        <f>+_xll.BDP($B12,I$1)</f>
        <v>-8.3307669999999998</v>
      </c>
      <c r="J12" s="26">
        <f>+_xll.BDP($B12,J$1)</f>
        <v>-6.53</v>
      </c>
      <c r="K12" s="26">
        <f>+_xll.BDP($B12,K$1)</f>
        <v>-619.95000000000005</v>
      </c>
    </row>
    <row r="13" spans="1:11" x14ac:dyDescent="0.25">
      <c r="B13" s="26" t="s">
        <v>428</v>
      </c>
      <c r="C13" s="26" t="str">
        <f>+_xll.BDP(B13,C$1)</f>
        <v>ISHARES 7-10 YEAR TREASURY B</v>
      </c>
      <c r="D13" s="55">
        <f t="shared" si="3"/>
        <v>-6.3918605730851515E-3</v>
      </c>
      <c r="E13" s="55">
        <f t="shared" si="2"/>
        <v>-6.7770394526520195E-3</v>
      </c>
      <c r="F13" s="55">
        <f t="shared" si="2"/>
        <v>-2.3129801960885734E-2</v>
      </c>
      <c r="G13" s="56"/>
      <c r="H13" s="26">
        <f>+_xll.BDP($B13,H$1)</f>
        <v>16046.83</v>
      </c>
      <c r="I13" s="26">
        <f>+_xll.BDP($B13,I$1)</f>
        <v>-102.56910000000001</v>
      </c>
      <c r="J13" s="26">
        <f>+_xll.BDP($B13,J$1)</f>
        <v>-108.75</v>
      </c>
      <c r="K13" s="26">
        <f>+_xll.BDP($B13,K$1)</f>
        <v>-371.16</v>
      </c>
    </row>
    <row r="14" spans="1:11" ht="9.75" customHeight="1" x14ac:dyDescent="0.25">
      <c r="D14" s="55"/>
      <c r="E14" s="55"/>
      <c r="F14" s="55"/>
    </row>
    <row r="15" spans="1:11" x14ac:dyDescent="0.25">
      <c r="A15" s="26" t="s">
        <v>429</v>
      </c>
      <c r="B15" s="26" t="s">
        <v>430</v>
      </c>
      <c r="C15" s="26" t="str">
        <f>+_xll.BDP(B15,C$1)</f>
        <v>SPDR GOLD SHARES</v>
      </c>
      <c r="D15" s="55">
        <f>+I15/$H15</f>
        <v>1.4705293416417944E-4</v>
      </c>
      <c r="E15" s="55">
        <f t="shared" ref="E15:F19" si="4">+J15/$H15</f>
        <v>4.1414316897387211E-3</v>
      </c>
      <c r="F15" s="55">
        <f t="shared" si="4"/>
        <v>7.2057925175376229E-3</v>
      </c>
      <c r="G15" s="56"/>
      <c r="H15" s="26">
        <f>+_xll.BDP($B15,H$1)</f>
        <v>68983.390625</v>
      </c>
      <c r="I15" s="26">
        <f>+_xll.BDP($B15,I$1)</f>
        <v>10.144209999999999</v>
      </c>
      <c r="J15" s="26">
        <f>+_xll.BDP($B15,J$1)</f>
        <v>285.69</v>
      </c>
      <c r="K15" s="26">
        <f>+_xll.BDP($B15,K$1)</f>
        <v>497.08</v>
      </c>
    </row>
    <row r="16" spans="1:11" x14ac:dyDescent="0.25">
      <c r="B16" s="26" t="s">
        <v>431</v>
      </c>
      <c r="C16" s="26" t="str">
        <f>+_xll.BDP(B16,C$1)</f>
        <v>ISHARES GOLD TRUST</v>
      </c>
      <c r="D16" s="55">
        <f t="shared" ref="D16:D19" si="5">+I16/$H16</f>
        <v>-4.0647092429826609E-5</v>
      </c>
      <c r="E16" s="55">
        <f t="shared" si="4"/>
        <v>-2.043248345107732E-3</v>
      </c>
      <c r="F16" s="55">
        <f t="shared" si="4"/>
        <v>1.2185414601941578E-3</v>
      </c>
      <c r="G16" s="56"/>
      <c r="H16" s="26">
        <f>+_xll.BDP($B16,H$1)</f>
        <v>32399.39</v>
      </c>
      <c r="I16" s="26">
        <f>+_xll.BDP($B16,I$1)</f>
        <v>-1.3169409999999999</v>
      </c>
      <c r="J16" s="26">
        <f>+_xll.BDP($B16,J$1)</f>
        <v>-66.2</v>
      </c>
      <c r="K16" s="26">
        <f>+_xll.BDP($B16,K$1)</f>
        <v>39.479999999999997</v>
      </c>
    </row>
    <row r="17" spans="1:11" x14ac:dyDescent="0.25">
      <c r="B17" s="26" t="s">
        <v>432</v>
      </c>
      <c r="C17" s="26" t="str">
        <f>+_xll.BDP(B17,C$1)</f>
        <v>UNITED STATES OIL FUND LP</v>
      </c>
      <c r="D17" s="55">
        <f t="shared" si="5"/>
        <v>-3.3064532973513688E-3</v>
      </c>
      <c r="E17" s="55">
        <f t="shared" si="4"/>
        <v>-1.8207861912536198E-2</v>
      </c>
      <c r="F17" s="55">
        <f t="shared" si="4"/>
        <v>-4.4967446398250024E-2</v>
      </c>
      <c r="G17" s="56"/>
      <c r="H17" s="26">
        <f>+_xll.BDP($B17,H$1)</f>
        <v>2997.0569999999998</v>
      </c>
      <c r="I17" s="26">
        <f>+_xll.BDP($B17,I$1)</f>
        <v>-9.9096290000000007</v>
      </c>
      <c r="J17" s="26">
        <f>+_xll.BDP($B17,J$1)</f>
        <v>-54.57</v>
      </c>
      <c r="K17" s="26">
        <f>+_xll.BDP($B17,K$1)</f>
        <v>-134.77000000000001</v>
      </c>
    </row>
    <row r="18" spans="1:11" x14ac:dyDescent="0.25">
      <c r="B18" s="26" t="s">
        <v>433</v>
      </c>
      <c r="C18" s="26" t="str">
        <f>+_xll.BDP(B18,C$1)</f>
        <v>ISHARES SILVER TRUST</v>
      </c>
      <c r="D18" s="55">
        <f t="shared" si="5"/>
        <v>-1.7762112972004201E-3</v>
      </c>
      <c r="E18" s="55">
        <f t="shared" si="4"/>
        <v>-1.1517436274867828E-3</v>
      </c>
      <c r="F18" s="55">
        <f t="shared" si="4"/>
        <v>-5.5515447410262311E-3</v>
      </c>
      <c r="G18" s="56"/>
      <c r="H18" s="26">
        <f>+_xll.BDP($B18,H$1)</f>
        <v>14239.28</v>
      </c>
      <c r="I18" s="26">
        <f>+_xll.BDP($B18,I$1)</f>
        <v>-25.291969999999999</v>
      </c>
      <c r="J18" s="26">
        <f>+_xll.BDP($B18,J$1)</f>
        <v>-16.399999999999999</v>
      </c>
      <c r="K18" s="26">
        <f>+_xll.BDP($B18,K$1)</f>
        <v>-79.05</v>
      </c>
    </row>
    <row r="19" spans="1:11" x14ac:dyDescent="0.25">
      <c r="B19" s="26" t="s">
        <v>434</v>
      </c>
      <c r="C19" s="26" t="str">
        <f>+_xll.BDP(B19,C$1)</f>
        <v>INVESCO DB AGRICULTURE FUND</v>
      </c>
      <c r="D19" s="55">
        <f t="shared" si="5"/>
        <v>1.6909602567574719E-3</v>
      </c>
      <c r="E19" s="55">
        <f t="shared" si="4"/>
        <v>4.3581530147523479E-4</v>
      </c>
      <c r="F19" s="55">
        <f t="shared" si="4"/>
        <v>2.4792554140045244E-2</v>
      </c>
      <c r="G19" s="56"/>
      <c r="H19" s="26">
        <f>+_xll.BDP($B19,H$1)</f>
        <v>2248.6590000000001</v>
      </c>
      <c r="I19" s="26">
        <f>+_xll.BDP($B19,I$1)</f>
        <v>3.8023929999999999</v>
      </c>
      <c r="J19" s="26">
        <f>+_xll.BDP($B19,J$1)</f>
        <v>0.98</v>
      </c>
      <c r="K19" s="26">
        <f>+_xll.BDP($B19,K$1)</f>
        <v>55.75</v>
      </c>
    </row>
    <row r="20" spans="1:11" ht="11.25" customHeight="1" x14ac:dyDescent="0.25">
      <c r="D20" s="55"/>
      <c r="E20" s="55"/>
      <c r="F20" s="55"/>
      <c r="G20" s="56"/>
    </row>
    <row r="21" spans="1:11" x14ac:dyDescent="0.25">
      <c r="A21" s="26" t="s">
        <v>435</v>
      </c>
      <c r="B21" s="26" t="s">
        <v>436</v>
      </c>
      <c r="C21" s="26" t="str">
        <f>+_xll.BDP(B21,C$1)</f>
        <v>ISHARES CORE DAX DE EUR ACC</v>
      </c>
      <c r="D21" s="55">
        <f>+I21/$H21</f>
        <v>-3.5300986406287962E-4</v>
      </c>
      <c r="E21" s="55">
        <f t="shared" ref="E21:F25" si="6">+J21/$H21</f>
        <v>-1.1535707404873889E-4</v>
      </c>
      <c r="F21" s="55">
        <f t="shared" si="6"/>
        <v>3.3574073790304602E-4</v>
      </c>
      <c r="G21" s="56"/>
      <c r="H21" s="26">
        <f>+_xll.BDP($B21,H$1)</f>
        <v>5808.0529999999999</v>
      </c>
      <c r="I21" s="26">
        <f>+_xll.BDP($B21,I$1)</f>
        <v>-2.0503</v>
      </c>
      <c r="J21" s="26">
        <f>+_xll.BDP($B21,J$1)</f>
        <v>-0.67</v>
      </c>
      <c r="K21" s="26">
        <f>+_xll.BDP($B21,K$1)</f>
        <v>1.95</v>
      </c>
    </row>
    <row r="22" spans="1:11" x14ac:dyDescent="0.25">
      <c r="B22" s="26" t="s">
        <v>437</v>
      </c>
      <c r="C22" s="26" t="str">
        <f>+_xll.BDP(B22,C$1)</f>
        <v>ISHARES CORE FTSE 100</v>
      </c>
      <c r="D22" s="55">
        <f t="shared" ref="D22:D25" si="7">+I22/$H22</f>
        <v>1.0095137458972198E-2</v>
      </c>
      <c r="E22" s="55">
        <f t="shared" si="6"/>
        <v>2.5565704194516117E-2</v>
      </c>
      <c r="F22" s="55">
        <f t="shared" si="6"/>
        <v>0.19458849158816954</v>
      </c>
      <c r="G22" s="56"/>
      <c r="H22" s="26">
        <f>+_xll.BDP($B22,H$1)</f>
        <v>11053.48</v>
      </c>
      <c r="I22" s="26">
        <f>+_xll.BDP($B22,I$1)</f>
        <v>111.5864</v>
      </c>
      <c r="J22" s="26">
        <f>+_xll.BDP($B22,J$1)</f>
        <v>282.58999999999997</v>
      </c>
      <c r="K22" s="26">
        <f>+_xll.BDP($B22,K$1)</f>
        <v>2150.88</v>
      </c>
    </row>
    <row r="23" spans="1:11" x14ac:dyDescent="0.25">
      <c r="B23" s="26" t="s">
        <v>438</v>
      </c>
      <c r="C23" s="26" t="str">
        <f>+_xll.BDP(B23,C$1)</f>
        <v>LYXOR CAC 40</v>
      </c>
      <c r="D23" s="55">
        <f t="shared" si="7"/>
        <v>-7.9828816023233505E-5</v>
      </c>
      <c r="E23" s="55">
        <f t="shared" si="6"/>
        <v>-8.6097813034832221E-5</v>
      </c>
      <c r="F23" s="55">
        <f t="shared" si="6"/>
        <v>-1.0869848895647567E-3</v>
      </c>
      <c r="G23" s="56"/>
      <c r="H23" s="26">
        <f>+_xll.BDP($B23,H$1)</f>
        <v>3716.703</v>
      </c>
      <c r="I23" s="26">
        <f>+_xll.BDP($B23,I$1)</f>
        <v>-0.29670000000000002</v>
      </c>
      <c r="J23" s="26">
        <f>+_xll.BDP($B23,J$1)</f>
        <v>-0.32</v>
      </c>
      <c r="K23" s="26">
        <f>+_xll.BDP($B23,K$1)</f>
        <v>-4.04</v>
      </c>
    </row>
    <row r="24" spans="1:11" x14ac:dyDescent="0.25">
      <c r="B24" s="26" t="s">
        <v>439</v>
      </c>
      <c r="C24" s="26" t="str">
        <f>+_xll.BDP(B24,C$1)</f>
        <v>ISHARES SMI ETF CH</v>
      </c>
      <c r="D24" s="55">
        <f t="shared" si="7"/>
        <v>2.4635360437060275E-5</v>
      </c>
      <c r="E24" s="55">
        <f t="shared" si="6"/>
        <v>3.6228471230970992E-5</v>
      </c>
      <c r="F24" s="55">
        <f t="shared" si="6"/>
        <v>3.0794200546325345E-4</v>
      </c>
      <c r="G24" s="56"/>
      <c r="H24" s="26">
        <f>+_xll.BDP($B24,H$1)</f>
        <v>2208.2080000000001</v>
      </c>
      <c r="I24" s="26">
        <f>+_xll.BDP($B24,I$1)</f>
        <v>5.4399999999999997E-2</v>
      </c>
      <c r="J24" s="26">
        <f>+_xll.BDP($B24,J$1)</f>
        <v>0.08</v>
      </c>
      <c r="K24" s="26">
        <f>+_xll.BDP($B24,K$1)</f>
        <v>0.68</v>
      </c>
    </row>
    <row r="25" spans="1:11" x14ac:dyDescent="0.25">
      <c r="B25" s="26" t="s">
        <v>440</v>
      </c>
      <c r="C25" s="26" t="str">
        <f>+_xll.BDP(B25,C$1)</f>
        <v>ISHARES MSCI ITALY ETF</v>
      </c>
      <c r="D25" s="55">
        <f t="shared" si="7"/>
        <v>4.2619535591528643E-4</v>
      </c>
      <c r="E25" s="55">
        <f t="shared" si="6"/>
        <v>4.5836945380122926E-4</v>
      </c>
      <c r="F25" s="55">
        <f t="shared" si="6"/>
        <v>-6.5947905165651854E-2</v>
      </c>
      <c r="G25" s="56"/>
      <c r="H25" s="26">
        <f>+_xll.BDP($B25,H$1)</f>
        <v>349.0634</v>
      </c>
      <c r="I25" s="26">
        <f>+_xll.BDP($B25,I$1)</f>
        <v>0.14876919999999999</v>
      </c>
      <c r="J25" s="26">
        <f>+_xll.BDP($B25,J$1)</f>
        <v>0.16</v>
      </c>
      <c r="K25" s="26">
        <f>+_xll.BDP($B25,K$1)</f>
        <v>-23.02</v>
      </c>
    </row>
    <row r="26" spans="1:11" ht="10.5" customHeight="1" x14ac:dyDescent="0.25">
      <c r="D26" s="55"/>
      <c r="E26" s="55"/>
      <c r="F26" s="55"/>
    </row>
    <row r="27" spans="1:11" x14ac:dyDescent="0.25">
      <c r="A27" s="26" t="s">
        <v>441</v>
      </c>
      <c r="B27" s="26" t="s">
        <v>442</v>
      </c>
      <c r="C27" s="26" t="str">
        <f>+_xll.BDP(B27,C$1)</f>
        <v>ISHARES CORE EURO CORP BOND</v>
      </c>
      <c r="D27" s="55">
        <f>+I27/$H27</f>
        <v>-2.7376752599020041E-4</v>
      </c>
      <c r="E27" s="55">
        <f t="shared" ref="E27:F31" si="8">+J27/$H27</f>
        <v>-2.960355841905585E-4</v>
      </c>
      <c r="F27" s="55">
        <f t="shared" si="8"/>
        <v>-4.6367019210569399E-4</v>
      </c>
      <c r="G27" s="56"/>
      <c r="H27" s="26">
        <f>+_xll.BDP($B27,H$1)</f>
        <v>8411.1509999999998</v>
      </c>
      <c r="I27" s="26">
        <f>+_xll.BDP($B27,I$1)</f>
        <v>-2.3027000000000002</v>
      </c>
      <c r="J27" s="26">
        <f>+_xll.BDP($B27,J$1)</f>
        <v>-2.4900000000000002</v>
      </c>
      <c r="K27" s="26">
        <f>+_xll.BDP($B27,K$1)</f>
        <v>-3.9</v>
      </c>
    </row>
    <row r="28" spans="1:11" x14ac:dyDescent="0.25">
      <c r="B28" s="26" t="s">
        <v>443</v>
      </c>
      <c r="C28" s="26" t="str">
        <f>+_xll.BDP(B28,C$1)</f>
        <v>ISHARES EURO CORP 1-5YR</v>
      </c>
      <c r="D28" s="55">
        <f t="shared" ref="D28:D31" si="9">+I28/$H28</f>
        <v>0</v>
      </c>
      <c r="E28" s="55">
        <f t="shared" si="8"/>
        <v>0</v>
      </c>
      <c r="F28" s="55">
        <f t="shared" si="8"/>
        <v>-4.9776429168390181E-6</v>
      </c>
      <c r="G28" s="56"/>
      <c r="H28" s="26">
        <f>+_xll.BDP($B28,H$1)</f>
        <v>4017.9659999999999</v>
      </c>
      <c r="I28" s="26">
        <f>+_xll.BDP($B28,I$1)</f>
        <v>0</v>
      </c>
      <c r="J28" s="26">
        <f>+_xll.BDP($B28,J$1)</f>
        <v>0</v>
      </c>
      <c r="K28" s="26">
        <f>+_xll.BDP($B28,K$1)</f>
        <v>-0.02</v>
      </c>
    </row>
    <row r="29" spans="1:11" x14ac:dyDescent="0.25">
      <c r="B29" s="26" t="s">
        <v>444</v>
      </c>
      <c r="C29" s="26" t="str">
        <f>+_xll.BDP(B29,C$1)</f>
        <v>ISHARES EURO GOVT 3-5Y</v>
      </c>
      <c r="D29" s="55">
        <f t="shared" si="9"/>
        <v>0</v>
      </c>
      <c r="E29" s="55">
        <f t="shared" si="8"/>
        <v>1.2704752975135528E-5</v>
      </c>
      <c r="F29" s="55">
        <f t="shared" si="8"/>
        <v>1.5245703570162633E-4</v>
      </c>
      <c r="G29" s="56"/>
      <c r="H29" s="26">
        <f>+_xll.BDP($B29,H$1)</f>
        <v>1574.2139999999999</v>
      </c>
      <c r="I29" s="26">
        <f>+_xll.BDP($B29,I$1)</f>
        <v>0</v>
      </c>
      <c r="J29" s="26">
        <f>+_xll.BDP($B29,J$1)</f>
        <v>0.02</v>
      </c>
      <c r="K29" s="26">
        <f>+_xll.BDP($B29,K$1)</f>
        <v>0.24</v>
      </c>
    </row>
    <row r="30" spans="1:11" hidden="1" x14ac:dyDescent="0.25">
      <c r="B30" s="26" t="s">
        <v>445</v>
      </c>
      <c r="C30" s="26" t="str">
        <f>+_xll.BDP(B30,C$1)</f>
        <v>X EUROZONE GOVERNMENT 1C</v>
      </c>
      <c r="D30" s="55">
        <f t="shared" si="9"/>
        <v>-2.019904070587632E-5</v>
      </c>
      <c r="E30" s="55">
        <f t="shared" si="8"/>
        <v>-6.8704220088014692E-5</v>
      </c>
      <c r="F30" s="55">
        <f t="shared" si="8"/>
        <v>-5.5421404204331851E-4</v>
      </c>
      <c r="G30" s="56"/>
      <c r="H30" s="26">
        <f>+_xll.BDP($B30,H$1)</f>
        <v>2183.2719999999999</v>
      </c>
      <c r="I30" s="26">
        <f>+_xll.BDP($B30,I$1)</f>
        <v>-4.41E-2</v>
      </c>
      <c r="J30" s="26">
        <f>+_xll.BDP($B30,J$1)</f>
        <v>-0.15</v>
      </c>
      <c r="K30" s="26">
        <f>+_xll.BDP($B30,K$1)</f>
        <v>-1.21</v>
      </c>
    </row>
    <row r="31" spans="1:11" x14ac:dyDescent="0.25">
      <c r="B31" s="26" t="s">
        <v>446</v>
      </c>
      <c r="C31" s="26" t="str">
        <f>+_xll.BDP(B31,C$1)</f>
        <v>ISHARES CORE UK GILTS</v>
      </c>
      <c r="D31" s="55">
        <f t="shared" si="9"/>
        <v>-8.500741264638277E-6</v>
      </c>
      <c r="E31" s="55">
        <f t="shared" si="8"/>
        <v>5.1004447587829659E-4</v>
      </c>
      <c r="F31" s="55">
        <f t="shared" si="8"/>
        <v>1.0710933993444229E-3</v>
      </c>
      <c r="G31" s="56"/>
      <c r="H31" s="26">
        <f>+_xll.BDP($B31,H$1)</f>
        <v>1176.3679999999999</v>
      </c>
      <c r="I31" s="26">
        <f>+_xll.BDP($B31,I$1)</f>
        <v>-0.01</v>
      </c>
      <c r="J31" s="26">
        <f>+_xll.BDP($B31,J$1)</f>
        <v>0.6</v>
      </c>
      <c r="K31" s="26">
        <f>+_xll.BDP($B31,K$1)</f>
        <v>1.26</v>
      </c>
    </row>
    <row r="32" spans="1:11" ht="11.25" customHeight="1" x14ac:dyDescent="0.25">
      <c r="D32" s="55"/>
      <c r="E32" s="55"/>
      <c r="F32" s="55"/>
    </row>
    <row r="33" spans="1:11" x14ac:dyDescent="0.25">
      <c r="A33" s="26" t="s">
        <v>353</v>
      </c>
      <c r="B33" s="26" t="s">
        <v>447</v>
      </c>
      <c r="C33" s="26" t="str">
        <f>+_xll.BDP(B33,C$1)</f>
        <v>VANGUARD FTSE EMERGING MARKE</v>
      </c>
      <c r="D33" s="55">
        <f>+I33/$H33</f>
        <v>1.7497187008426224E-4</v>
      </c>
      <c r="E33" s="55">
        <f t="shared" ref="E33:F38" si="10">+J33/$H33</f>
        <v>-2.1575909720541962E-4</v>
      </c>
      <c r="F33" s="55">
        <f t="shared" si="10"/>
        <v>-5.9761023744406413E-3</v>
      </c>
      <c r="G33" s="56"/>
      <c r="H33" s="26">
        <f>+_xll.BDP($B33,H$1)</f>
        <v>75361.828125</v>
      </c>
      <c r="I33" s="26">
        <f>+_xll.BDP($B33,I$1)</f>
        <v>13.186199999999999</v>
      </c>
      <c r="J33" s="26">
        <f>+_xll.BDP($B33,J$1)</f>
        <v>-16.260000000000002</v>
      </c>
      <c r="K33" s="26">
        <f>+_xll.BDP($B33,K$1)</f>
        <v>-450.37</v>
      </c>
    </row>
    <row r="34" spans="1:11" x14ac:dyDescent="0.25">
      <c r="B34" s="26" t="s">
        <v>448</v>
      </c>
      <c r="C34" s="26" t="str">
        <f>+_xll.BDP(B34,C$1)</f>
        <v>ISHARES CORE MSCI EMERGING</v>
      </c>
      <c r="D34" s="55">
        <f t="shared" ref="D34:D38" si="11">+I34/$H34</f>
        <v>1.3845488783247622E-4</v>
      </c>
      <c r="E34" s="55">
        <f t="shared" si="10"/>
        <v>5.4420662889613519E-5</v>
      </c>
      <c r="F34" s="55">
        <f t="shared" si="10"/>
        <v>1.1559796911980761E-3</v>
      </c>
      <c r="G34" s="56"/>
      <c r="H34" s="26">
        <f>+_xll.BDP($B34,H$1)</f>
        <v>70745.1875</v>
      </c>
      <c r="I34" s="26">
        <f>+_xll.BDP($B34,I$1)</f>
        <v>9.7950169999999996</v>
      </c>
      <c r="J34" s="26">
        <f>+_xll.BDP($B34,J$1)</f>
        <v>3.85</v>
      </c>
      <c r="K34" s="26">
        <f>+_xll.BDP($B34,K$1)</f>
        <v>81.78</v>
      </c>
    </row>
    <row r="35" spans="1:11" x14ac:dyDescent="0.25">
      <c r="B35" s="26" t="s">
        <v>449</v>
      </c>
      <c r="C35" s="26" t="str">
        <f>+_xll.BDP(B35,C$1)</f>
        <v>ISHARES MSCI CHINA ETF</v>
      </c>
      <c r="D35" s="55">
        <f t="shared" si="11"/>
        <v>-7.0299959141072524E-4</v>
      </c>
      <c r="E35" s="55">
        <f t="shared" si="10"/>
        <v>-1.1124955500178E-4</v>
      </c>
      <c r="F35" s="55">
        <f t="shared" si="10"/>
        <v>1.6623380476175065E-2</v>
      </c>
      <c r="G35" s="56"/>
      <c r="H35" s="26">
        <f>+_xll.BDP($B35,H$1)</f>
        <v>5932.6080000000002</v>
      </c>
      <c r="I35" s="26">
        <f>+_xll.BDP($B35,I$1)</f>
        <v>-4.1706209999999997</v>
      </c>
      <c r="J35" s="26">
        <f>+_xll.BDP($B35,J$1)</f>
        <v>-0.66</v>
      </c>
      <c r="K35" s="26">
        <f>+_xll.BDP($B35,K$1)</f>
        <v>98.62</v>
      </c>
    </row>
    <row r="36" spans="1:11" x14ac:dyDescent="0.25">
      <c r="B36" s="26" t="s">
        <v>450</v>
      </c>
      <c r="C36" s="26" t="str">
        <f>+_xll.BDP(B36,C$1)</f>
        <v>ISHARES MSCI BRAZIL ETF</v>
      </c>
      <c r="D36" s="55">
        <f t="shared" si="11"/>
        <v>9.7583151477473144E-3</v>
      </c>
      <c r="E36" s="55">
        <f t="shared" si="10"/>
        <v>2.6672545263077763E-2</v>
      </c>
      <c r="F36" s="55">
        <f t="shared" si="10"/>
        <v>1.2370427699607953E-3</v>
      </c>
      <c r="G36" s="56"/>
      <c r="H36" s="26">
        <f>+_xll.BDP($B36,H$1)</f>
        <v>6305.36</v>
      </c>
      <c r="I36" s="26">
        <f>+_xll.BDP($B36,I$1)</f>
        <v>61.529690000000002</v>
      </c>
      <c r="J36" s="26">
        <f>+_xll.BDP($B36,J$1)</f>
        <v>168.18</v>
      </c>
      <c r="K36" s="26">
        <f>+_xll.BDP($B36,K$1)</f>
        <v>7.8</v>
      </c>
    </row>
    <row r="37" spans="1:11" x14ac:dyDescent="0.25">
      <c r="B37" s="26" t="s">
        <v>451</v>
      </c>
      <c r="C37" s="26" t="str">
        <f>+_xll.BDP(B37,C$1)</f>
        <v>VANECK RUSSIA ETF</v>
      </c>
      <c r="D37" s="55">
        <f t="shared" si="11"/>
        <v>0</v>
      </c>
      <c r="E37" s="55">
        <f t="shared" si="10"/>
        <v>0</v>
      </c>
      <c r="F37" s="55">
        <f t="shared" si="10"/>
        <v>0</v>
      </c>
      <c r="G37" s="56"/>
      <c r="H37" s="26">
        <f>+_xll.BDP($B37,H$1)</f>
        <v>31.438800000000001</v>
      </c>
      <c r="I37" s="26">
        <f>+_xll.BDP($B37,I$1)</f>
        <v>0</v>
      </c>
      <c r="J37" s="26">
        <f>+_xll.BDP($B37,J$1)</f>
        <v>0</v>
      </c>
      <c r="K37" s="26">
        <f>+_xll.BDP($B37,K$1)</f>
        <v>0</v>
      </c>
    </row>
    <row r="38" spans="1:11" x14ac:dyDescent="0.25">
      <c r="B38" s="26" t="s">
        <v>452</v>
      </c>
      <c r="C38" s="26" t="str">
        <f>+_xll.BDP(B38,C$1)</f>
        <v>ISHARES MSCI INDIA ETF</v>
      </c>
      <c r="D38" s="55">
        <f t="shared" si="11"/>
        <v>-1.1945616085314056E-3</v>
      </c>
      <c r="E38" s="55">
        <f t="shared" si="10"/>
        <v>6.794977478875963E-3</v>
      </c>
      <c r="F38" s="55">
        <f t="shared" si="10"/>
        <v>9.0916396705799391E-3</v>
      </c>
      <c r="G38" s="56"/>
      <c r="H38" s="26">
        <f>+_xll.BDP($B38,H$1)</f>
        <v>5473.16015625</v>
      </c>
      <c r="I38" s="26">
        <f>+_xll.BDP($B38,I$1)</f>
        <v>-6.5380269999999996</v>
      </c>
      <c r="J38" s="26">
        <f>+_xll.BDP($B38,J$1)</f>
        <v>37.19</v>
      </c>
      <c r="K38" s="26">
        <f>+_xll.BDP($B38,K$1)</f>
        <v>49.76</v>
      </c>
    </row>
  </sheetData>
  <conditionalFormatting sqref="F2:F38">
    <cfRule type="cellIs" dxfId="30" priority="7" operator="lessThan">
      <formula>-0.02</formula>
    </cfRule>
    <cfRule type="cellIs" dxfId="29" priority="8" operator="greaterThan">
      <formula>0.02</formula>
    </cfRule>
  </conditionalFormatting>
  <conditionalFormatting sqref="D2:E38">
    <cfRule type="cellIs" dxfId="28" priority="1" operator="lessThan">
      <formula>-0.02</formula>
    </cfRule>
    <cfRule type="cellIs" dxfId="27" priority="2" operator="greaterThan">
      <formula>0.02</formula>
    </cfRule>
  </conditionalFormatting>
  <pageMargins left="0.7" right="0.7" top="0.75" bottom="0.75" header="0.3" footer="0.3"/>
  <pageSetup paperSize="9" scale="5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479"/>
  <sheetViews>
    <sheetView showGridLines="0" topLeftCell="A173" workbookViewId="0">
      <selection activeCell="U210" sqref="U210"/>
    </sheetView>
  </sheetViews>
  <sheetFormatPr defaultRowHeight="15" x14ac:dyDescent="0.25"/>
  <cols>
    <col min="1" max="1" width="10.7109375" bestFit="1" customWidth="1"/>
    <col min="2" max="2" width="14.85546875" style="11" bestFit="1" customWidth="1"/>
    <col min="3" max="3" width="15.140625" style="11" bestFit="1" customWidth="1"/>
    <col min="4" max="4" width="13.7109375" style="11" bestFit="1" customWidth="1"/>
    <col min="5" max="5" width="15.140625" style="11" bestFit="1" customWidth="1"/>
    <col min="6" max="6" width="16.28515625" style="11" bestFit="1" customWidth="1"/>
    <col min="8" max="8" width="10.7109375" bestFit="1" customWidth="1"/>
    <col min="9" max="10" width="9.140625" style="11"/>
    <col min="11" max="11" width="9.140625" style="11" bestFit="1" customWidth="1"/>
    <col min="12" max="13" width="9.140625" style="11"/>
    <col min="14" max="14" width="10.140625" style="31" bestFit="1" customWidth="1"/>
    <col min="16" max="20" width="9.85546875" bestFit="1" customWidth="1"/>
    <col min="21" max="21" width="10.85546875" style="31" bestFit="1" customWidth="1"/>
  </cols>
  <sheetData>
    <row r="1" spans="1:14" x14ac:dyDescent="0.25">
      <c r="A1" t="s">
        <v>465</v>
      </c>
      <c r="B1" s="14">
        <f ca="1">B2-365*17+5+5</f>
        <v>38493</v>
      </c>
      <c r="C1" s="14"/>
    </row>
    <row r="2" spans="1:14" x14ac:dyDescent="0.25">
      <c r="A2" t="s">
        <v>466</v>
      </c>
      <c r="B2" s="14">
        <f ca="1">+TODAY()+15</f>
        <v>44688</v>
      </c>
      <c r="C2" s="14"/>
    </row>
    <row r="3" spans="1:14" x14ac:dyDescent="0.25">
      <c r="C3" s="11">
        <f>+_xll.BDP("eurusd curncy", "px last")</f>
        <v>1.0807</v>
      </c>
      <c r="D3" s="11">
        <f>+_xll.BDP("gbpusd curncy", "px last")</f>
        <v>1.2894000000000001</v>
      </c>
      <c r="E3" s="11">
        <f>+_xll.BDP("jpyusd curncy", "px last")</f>
        <v>7.79E-3</v>
      </c>
      <c r="F3" s="11">
        <f>+_xll.BDP("cnyusd curncy", "px last")</f>
        <v>0.15379000000000001</v>
      </c>
    </row>
    <row r="4" spans="1:14" x14ac:dyDescent="0.25">
      <c r="B4" s="64" t="s">
        <v>468</v>
      </c>
      <c r="C4" s="64" t="s">
        <v>469</v>
      </c>
      <c r="D4" s="11" t="s">
        <v>478</v>
      </c>
      <c r="E4" s="11" t="s">
        <v>470</v>
      </c>
      <c r="F4" s="11" t="s">
        <v>471</v>
      </c>
      <c r="I4" s="11" t="s">
        <v>472</v>
      </c>
      <c r="J4" s="11" t="s">
        <v>473</v>
      </c>
      <c r="K4" s="11" t="s">
        <v>474</v>
      </c>
      <c r="L4" s="11" t="s">
        <v>475</v>
      </c>
      <c r="M4" s="11" t="s">
        <v>476</v>
      </c>
      <c r="N4" s="25" t="s">
        <v>477</v>
      </c>
    </row>
    <row r="5" spans="1:14" x14ac:dyDescent="0.25">
      <c r="B5" s="11" t="str">
        <f>_xll.BFieldInfo(B$6)</f>
        <v>Last Price</v>
      </c>
      <c r="C5" s="11" t="str">
        <f>_xll.BFieldInfo(C$6)</f>
        <v>Last Price</v>
      </c>
      <c r="D5" s="11" t="str">
        <f>_xll.BFieldInfo(D$6)</f>
        <v>Last Price</v>
      </c>
      <c r="E5" s="11" t="str">
        <f>_xll.BFieldInfo(E$6)</f>
        <v>Last Price</v>
      </c>
      <c r="F5" s="11" t="str">
        <f>_xll.BFieldInfo(F$6)</f>
        <v>Last Price</v>
      </c>
    </row>
    <row r="6" spans="1:14" x14ac:dyDescent="0.25">
      <c r="A6" t="s">
        <v>467</v>
      </c>
      <c r="B6" s="11" t="s">
        <v>176</v>
      </c>
      <c r="C6" s="11" t="s">
        <v>176</v>
      </c>
      <c r="D6" s="11" t="s">
        <v>176</v>
      </c>
      <c r="E6" s="11" t="s">
        <v>176</v>
      </c>
      <c r="F6" s="11" t="s">
        <v>176</v>
      </c>
    </row>
    <row r="7" spans="1:14" x14ac:dyDescent="0.25">
      <c r="A7" s="3">
        <f ca="1">_xll.BDH(B$4,B$6,$B1,$B2,"Dir=V","Per=M","Days=A","Dts=S","cols=2;rows=204")</f>
        <v>38503</v>
      </c>
      <c r="B7" s="26">
        <v>810921</v>
      </c>
      <c r="C7" s="26">
        <f ca="1">_xll.BDH(C$4,C$6,$B1,$B2,"Dir=V","Per=M","Days=A","Dts=h","cols=1;rows=204")</f>
        <v>927.78099999999995</v>
      </c>
      <c r="D7" s="26" t="str">
        <f ca="1">_xll.BDH(D$4,D$6,$B1,$B2,"Dir=V","Per=M","Days=A","Dts=h","cols=1;rows=204")</f>
        <v>#N/A N/A</v>
      </c>
      <c r="E7" s="26">
        <f ca="1">_xll.BDH(E$4,E$6,$B1,$B2,"Dir=V","Per=M","Days=A","Dts=h","cols=1;rows=204")</f>
        <v>147761.9</v>
      </c>
      <c r="F7" s="26">
        <f ca="1">_xll.BDH(F$4,F$6,$B1,$B2,"Dir=V","Per=M","Days=A","Dts=h","cols=1;rows=204")</f>
        <v>8668.91</v>
      </c>
      <c r="H7" s="3">
        <f ca="1">+A7</f>
        <v>38503</v>
      </c>
      <c r="I7" s="26">
        <f>+B7</f>
        <v>810921</v>
      </c>
      <c r="J7" s="26">
        <f ca="1">+C7*1000*C$3</f>
        <v>1002652.9267</v>
      </c>
      <c r="K7" s="26" t="str">
        <f ca="1">+IFERROR(D7*D$3,"")</f>
        <v/>
      </c>
      <c r="L7" s="26">
        <f ca="1">+E7*1000*E$3</f>
        <v>1151065.2010000001</v>
      </c>
      <c r="M7" s="26">
        <f ca="1">+F7*1000*F$3</f>
        <v>1333191.6689000002</v>
      </c>
      <c r="N7" s="65">
        <f ca="1">+SUM(I7:M7)</f>
        <v>4297830.7966</v>
      </c>
    </row>
    <row r="8" spans="1:14" x14ac:dyDescent="0.25">
      <c r="A8" s="3">
        <v>38533</v>
      </c>
      <c r="B8" s="26">
        <v>810968</v>
      </c>
      <c r="C8" s="26">
        <v>967.86800000000005</v>
      </c>
      <c r="D8" s="26" t="s">
        <v>464</v>
      </c>
      <c r="E8" s="26">
        <v>144212.29999999999</v>
      </c>
      <c r="F8" s="26">
        <v>9256.68</v>
      </c>
      <c r="H8" s="3">
        <f t="shared" ref="H8:H71" si="0">+A8</f>
        <v>38533</v>
      </c>
      <c r="I8" s="26">
        <f t="shared" ref="I8:I71" si="1">+B8</f>
        <v>810968</v>
      </c>
      <c r="J8" s="26">
        <f t="shared" ref="J8:J71" si="2">+C8*1000*C$3</f>
        <v>1045974.9476</v>
      </c>
      <c r="K8" s="26" t="str">
        <f t="shared" ref="K8:K71" si="3">+IFERROR(D8*D$3,"")</f>
        <v/>
      </c>
      <c r="L8" s="26">
        <f t="shared" ref="L8:L71" si="4">+E8*1000*E$3</f>
        <v>1123413.817</v>
      </c>
      <c r="M8" s="26">
        <f t="shared" ref="M8:M71" si="5">+F8*1000*F$3</f>
        <v>1423584.8172000002</v>
      </c>
      <c r="N8" s="65">
        <f t="shared" ref="N8:N71" si="6">+SUM(I8:M8)</f>
        <v>4403941.5818000007</v>
      </c>
    </row>
    <row r="9" spans="1:14" x14ac:dyDescent="0.25">
      <c r="A9" s="3">
        <v>38562</v>
      </c>
      <c r="B9" s="26">
        <v>815144</v>
      </c>
      <c r="C9" s="26">
        <v>996.79600000000005</v>
      </c>
      <c r="D9" s="26" t="s">
        <v>464</v>
      </c>
      <c r="E9" s="26">
        <v>147650.4</v>
      </c>
      <c r="F9" s="26">
        <v>9505.49</v>
      </c>
      <c r="H9" s="3">
        <f t="shared" si="0"/>
        <v>38562</v>
      </c>
      <c r="I9" s="26">
        <f t="shared" si="1"/>
        <v>815144</v>
      </c>
      <c r="J9" s="26">
        <f t="shared" si="2"/>
        <v>1077237.4372</v>
      </c>
      <c r="K9" s="26" t="str">
        <f t="shared" si="3"/>
        <v/>
      </c>
      <c r="L9" s="26">
        <f t="shared" si="4"/>
        <v>1150196.6159999999</v>
      </c>
      <c r="M9" s="26">
        <f t="shared" si="5"/>
        <v>1461849.3071000001</v>
      </c>
      <c r="N9" s="65">
        <f t="shared" si="6"/>
        <v>4504427.3602999998</v>
      </c>
    </row>
    <row r="10" spans="1:14" x14ac:dyDescent="0.25">
      <c r="A10" s="3">
        <v>38595</v>
      </c>
      <c r="B10" s="26">
        <v>824574</v>
      </c>
      <c r="C10" s="26">
        <v>992.27</v>
      </c>
      <c r="D10" s="26" t="s">
        <v>464</v>
      </c>
      <c r="E10" s="26">
        <v>151384.79999999999</v>
      </c>
      <c r="F10" s="26">
        <v>9664.35</v>
      </c>
      <c r="H10" s="3">
        <f t="shared" si="0"/>
        <v>38595</v>
      </c>
      <c r="I10" s="26">
        <f t="shared" si="1"/>
        <v>824574</v>
      </c>
      <c r="J10" s="26">
        <f t="shared" si="2"/>
        <v>1072346.189</v>
      </c>
      <c r="K10" s="26" t="str">
        <f t="shared" si="3"/>
        <v/>
      </c>
      <c r="L10" s="26">
        <f t="shared" si="4"/>
        <v>1179287.5919999999</v>
      </c>
      <c r="M10" s="26">
        <f t="shared" si="5"/>
        <v>1486280.3865</v>
      </c>
      <c r="N10" s="65">
        <f t="shared" si="6"/>
        <v>4562488.1675000004</v>
      </c>
    </row>
    <row r="11" spans="1:14" x14ac:dyDescent="0.25">
      <c r="A11" s="3">
        <v>38625</v>
      </c>
      <c r="B11" s="26">
        <v>824750</v>
      </c>
      <c r="C11" s="26">
        <v>996.04399999999998</v>
      </c>
      <c r="D11" s="26" t="s">
        <v>464</v>
      </c>
      <c r="E11" s="26">
        <v>147909.5</v>
      </c>
      <c r="F11" s="26">
        <v>9884.4500000000007</v>
      </c>
      <c r="H11" s="3">
        <f t="shared" si="0"/>
        <v>38625</v>
      </c>
      <c r="I11" s="26">
        <f t="shared" si="1"/>
        <v>824750</v>
      </c>
      <c r="J11" s="26">
        <f t="shared" si="2"/>
        <v>1076424.7508</v>
      </c>
      <c r="K11" s="26" t="str">
        <f t="shared" si="3"/>
        <v/>
      </c>
      <c r="L11" s="26">
        <f t="shared" si="4"/>
        <v>1152215.0050000001</v>
      </c>
      <c r="M11" s="26">
        <f t="shared" si="5"/>
        <v>1520129.5655</v>
      </c>
      <c r="N11" s="65">
        <f t="shared" si="6"/>
        <v>4573519.3213</v>
      </c>
    </row>
    <row r="12" spans="1:14" x14ac:dyDescent="0.25">
      <c r="A12" s="3">
        <v>38656</v>
      </c>
      <c r="B12" s="26">
        <v>820062</v>
      </c>
      <c r="C12" s="26">
        <v>1003.504</v>
      </c>
      <c r="D12" s="26" t="s">
        <v>464</v>
      </c>
      <c r="E12" s="26">
        <v>147754.6</v>
      </c>
      <c r="F12" s="26">
        <v>10043.06</v>
      </c>
      <c r="H12" s="3">
        <f t="shared" si="0"/>
        <v>38656</v>
      </c>
      <c r="I12" s="26">
        <f t="shared" si="1"/>
        <v>820062</v>
      </c>
      <c r="J12" s="26">
        <f t="shared" si="2"/>
        <v>1084486.7727999999</v>
      </c>
      <c r="K12" s="26" t="str">
        <f t="shared" si="3"/>
        <v/>
      </c>
      <c r="L12" s="26">
        <f t="shared" si="4"/>
        <v>1151008.334</v>
      </c>
      <c r="M12" s="26">
        <f t="shared" si="5"/>
        <v>1544522.1974000002</v>
      </c>
      <c r="N12" s="65">
        <f t="shared" si="6"/>
        <v>4600079.3042000001</v>
      </c>
    </row>
    <row r="13" spans="1:14" x14ac:dyDescent="0.25">
      <c r="A13" s="3">
        <v>38686</v>
      </c>
      <c r="B13" s="26">
        <v>836054</v>
      </c>
      <c r="C13" s="26">
        <v>1017.239</v>
      </c>
      <c r="D13" s="26" t="s">
        <v>464</v>
      </c>
      <c r="E13" s="26">
        <v>151970.1</v>
      </c>
      <c r="F13" s="26">
        <v>10179.549999999999</v>
      </c>
      <c r="H13" s="3">
        <f t="shared" si="0"/>
        <v>38686</v>
      </c>
      <c r="I13" s="26">
        <f t="shared" si="1"/>
        <v>836054</v>
      </c>
      <c r="J13" s="26">
        <f t="shared" si="2"/>
        <v>1099330.1873000001</v>
      </c>
      <c r="K13" s="26" t="str">
        <f t="shared" si="3"/>
        <v/>
      </c>
      <c r="L13" s="26">
        <f t="shared" si="4"/>
        <v>1183847.0789999999</v>
      </c>
      <c r="M13" s="26">
        <f t="shared" si="5"/>
        <v>1565512.9945</v>
      </c>
      <c r="N13" s="65">
        <f t="shared" si="6"/>
        <v>4684744.2608000003</v>
      </c>
    </row>
    <row r="14" spans="1:14" x14ac:dyDescent="0.25">
      <c r="A14" s="3">
        <v>38716</v>
      </c>
      <c r="B14" s="26">
        <v>848909</v>
      </c>
      <c r="C14" s="26">
        <v>1038.152</v>
      </c>
      <c r="D14" s="26" t="s">
        <v>464</v>
      </c>
      <c r="E14" s="26">
        <v>155607.1</v>
      </c>
      <c r="F14" s="26">
        <v>10367.6</v>
      </c>
      <c r="H14" s="3">
        <f t="shared" si="0"/>
        <v>38716</v>
      </c>
      <c r="I14" s="26">
        <f t="shared" si="1"/>
        <v>848909</v>
      </c>
      <c r="J14" s="26">
        <f t="shared" si="2"/>
        <v>1121930.8663999999</v>
      </c>
      <c r="K14" s="26" t="str">
        <f t="shared" si="3"/>
        <v/>
      </c>
      <c r="L14" s="26">
        <f t="shared" si="4"/>
        <v>1212179.3089999999</v>
      </c>
      <c r="M14" s="26">
        <f t="shared" si="5"/>
        <v>1594433.2040000001</v>
      </c>
      <c r="N14" s="65">
        <f t="shared" si="6"/>
        <v>4777452.3794</v>
      </c>
    </row>
    <row r="15" spans="1:14" x14ac:dyDescent="0.25">
      <c r="A15" s="3">
        <v>38748</v>
      </c>
      <c r="B15" s="26">
        <v>830100</v>
      </c>
      <c r="C15" s="26">
        <v>1055.1859999999999</v>
      </c>
      <c r="D15" s="26" t="s">
        <v>464</v>
      </c>
      <c r="E15" s="26">
        <v>152865.60000000001</v>
      </c>
      <c r="F15" s="26">
        <v>10826.23</v>
      </c>
      <c r="H15" s="3">
        <f t="shared" si="0"/>
        <v>38748</v>
      </c>
      <c r="I15" s="26">
        <f t="shared" si="1"/>
        <v>830100</v>
      </c>
      <c r="J15" s="26">
        <f t="shared" si="2"/>
        <v>1140339.5101999999</v>
      </c>
      <c r="K15" s="26" t="str">
        <f t="shared" si="3"/>
        <v/>
      </c>
      <c r="L15" s="26">
        <f t="shared" si="4"/>
        <v>1190823.024</v>
      </c>
      <c r="M15" s="26">
        <f t="shared" si="5"/>
        <v>1664965.9117000001</v>
      </c>
      <c r="N15" s="65">
        <f t="shared" si="6"/>
        <v>4826228.4458999997</v>
      </c>
    </row>
    <row r="16" spans="1:14" x14ac:dyDescent="0.25">
      <c r="A16" s="3">
        <v>38776</v>
      </c>
      <c r="B16" s="26">
        <v>842380</v>
      </c>
      <c r="C16" s="26">
        <v>1062.732</v>
      </c>
      <c r="D16" s="26" t="s">
        <v>464</v>
      </c>
      <c r="E16" s="26">
        <v>152347.79999999999</v>
      </c>
      <c r="F16" s="26">
        <v>10800.06</v>
      </c>
      <c r="H16" s="3">
        <f t="shared" si="0"/>
        <v>38776</v>
      </c>
      <c r="I16" s="26">
        <f t="shared" si="1"/>
        <v>842380</v>
      </c>
      <c r="J16" s="26">
        <f t="shared" si="2"/>
        <v>1148494.4724000001</v>
      </c>
      <c r="K16" s="26" t="str">
        <f t="shared" si="3"/>
        <v/>
      </c>
      <c r="L16" s="26">
        <f t="shared" si="4"/>
        <v>1186789.362</v>
      </c>
      <c r="M16" s="26">
        <f t="shared" si="5"/>
        <v>1660941.2274000002</v>
      </c>
      <c r="N16" s="65">
        <f t="shared" si="6"/>
        <v>4838605.0618000003</v>
      </c>
    </row>
    <row r="17" spans="1:14" x14ac:dyDescent="0.25">
      <c r="A17" s="3">
        <v>38807</v>
      </c>
      <c r="B17" s="26">
        <v>834635</v>
      </c>
      <c r="C17" s="26">
        <v>1067.4770000000001</v>
      </c>
      <c r="D17" s="26" t="s">
        <v>464</v>
      </c>
      <c r="E17" s="26">
        <v>144596.6</v>
      </c>
      <c r="F17" s="26">
        <v>10975.8</v>
      </c>
      <c r="H17" s="3">
        <f t="shared" si="0"/>
        <v>38807</v>
      </c>
      <c r="I17" s="26">
        <f t="shared" si="1"/>
        <v>834635</v>
      </c>
      <c r="J17" s="26">
        <f t="shared" si="2"/>
        <v>1153622.3939</v>
      </c>
      <c r="K17" s="26" t="str">
        <f t="shared" si="3"/>
        <v/>
      </c>
      <c r="L17" s="26">
        <f t="shared" si="4"/>
        <v>1126407.514</v>
      </c>
      <c r="M17" s="26">
        <f t="shared" si="5"/>
        <v>1687968.2820000001</v>
      </c>
      <c r="N17" s="65">
        <f t="shared" si="6"/>
        <v>4802633.1898999996</v>
      </c>
    </row>
    <row r="18" spans="1:14" x14ac:dyDescent="0.25">
      <c r="A18" s="3">
        <v>38835</v>
      </c>
      <c r="B18" s="26">
        <v>846026</v>
      </c>
      <c r="C18" s="26">
        <v>1080.3889999999999</v>
      </c>
      <c r="D18" s="26" t="s">
        <v>464</v>
      </c>
      <c r="E18" s="26">
        <v>129979.9</v>
      </c>
      <c r="F18" s="26">
        <v>11036.8</v>
      </c>
      <c r="H18" s="3">
        <f t="shared" si="0"/>
        <v>38835</v>
      </c>
      <c r="I18" s="26">
        <f t="shared" si="1"/>
        <v>846026</v>
      </c>
      <c r="J18" s="26">
        <f t="shared" si="2"/>
        <v>1167576.3922999999</v>
      </c>
      <c r="K18" s="26" t="str">
        <f t="shared" si="3"/>
        <v/>
      </c>
      <c r="L18" s="26">
        <f t="shared" si="4"/>
        <v>1012543.421</v>
      </c>
      <c r="M18" s="26">
        <f t="shared" si="5"/>
        <v>1697349.4720000001</v>
      </c>
      <c r="N18" s="65">
        <f t="shared" si="6"/>
        <v>4723495.2852999996</v>
      </c>
    </row>
    <row r="19" spans="1:14" x14ac:dyDescent="0.25">
      <c r="A19" s="3">
        <v>38868</v>
      </c>
      <c r="B19" s="26">
        <v>853554</v>
      </c>
      <c r="C19" s="26">
        <v>1084.0940000000001</v>
      </c>
      <c r="D19" s="26" t="s">
        <v>464</v>
      </c>
      <c r="E19" s="26">
        <v>122793.60000000001</v>
      </c>
      <c r="F19" s="26">
        <v>11237.79</v>
      </c>
      <c r="H19" s="3">
        <f t="shared" si="0"/>
        <v>38868</v>
      </c>
      <c r="I19" s="26">
        <f t="shared" si="1"/>
        <v>853554</v>
      </c>
      <c r="J19" s="26">
        <f t="shared" si="2"/>
        <v>1171580.3858</v>
      </c>
      <c r="K19" s="26" t="str">
        <f t="shared" si="3"/>
        <v/>
      </c>
      <c r="L19" s="26">
        <f t="shared" si="4"/>
        <v>956562.14399999997</v>
      </c>
      <c r="M19" s="26">
        <f t="shared" si="5"/>
        <v>1728259.7241000002</v>
      </c>
      <c r="N19" s="65">
        <f t="shared" si="6"/>
        <v>4709956.2539000008</v>
      </c>
    </row>
    <row r="20" spans="1:14" x14ac:dyDescent="0.25">
      <c r="A20" s="3">
        <v>38898</v>
      </c>
      <c r="B20" s="26">
        <v>845679</v>
      </c>
      <c r="C20" s="26">
        <v>1112.77</v>
      </c>
      <c r="D20" s="26" t="s">
        <v>464</v>
      </c>
      <c r="E20" s="26">
        <v>113832.8</v>
      </c>
      <c r="F20" s="26">
        <v>11590.58</v>
      </c>
      <c r="H20" s="3">
        <f t="shared" si="0"/>
        <v>38898</v>
      </c>
      <c r="I20" s="26">
        <f t="shared" si="1"/>
        <v>845679</v>
      </c>
      <c r="J20" s="26">
        <f t="shared" si="2"/>
        <v>1202570.5390000001</v>
      </c>
      <c r="K20" s="26" t="str">
        <f t="shared" si="3"/>
        <v/>
      </c>
      <c r="L20" s="26">
        <f t="shared" si="4"/>
        <v>886757.51199999999</v>
      </c>
      <c r="M20" s="26">
        <f t="shared" si="5"/>
        <v>1782515.2982000001</v>
      </c>
      <c r="N20" s="65">
        <f t="shared" si="6"/>
        <v>4717522.3492000001</v>
      </c>
    </row>
    <row r="21" spans="1:14" x14ac:dyDescent="0.25">
      <c r="A21" s="3">
        <v>38929</v>
      </c>
      <c r="B21" s="26">
        <v>842511</v>
      </c>
      <c r="C21" s="26">
        <v>1128.2850000000001</v>
      </c>
      <c r="D21" s="26" t="s">
        <v>464</v>
      </c>
      <c r="E21" s="26">
        <v>115967.5</v>
      </c>
      <c r="F21" s="26">
        <v>11587.91</v>
      </c>
      <c r="H21" s="3">
        <f t="shared" si="0"/>
        <v>38929</v>
      </c>
      <c r="I21" s="26">
        <f t="shared" si="1"/>
        <v>842511</v>
      </c>
      <c r="J21" s="26">
        <f t="shared" si="2"/>
        <v>1219337.5995</v>
      </c>
      <c r="K21" s="26" t="str">
        <f t="shared" si="3"/>
        <v/>
      </c>
      <c r="L21" s="26">
        <f t="shared" si="4"/>
        <v>903386.82499999995</v>
      </c>
      <c r="M21" s="26">
        <f t="shared" si="5"/>
        <v>1782104.6789000002</v>
      </c>
      <c r="N21" s="65">
        <f t="shared" si="6"/>
        <v>4747340.1033999994</v>
      </c>
    </row>
    <row r="22" spans="1:14" x14ac:dyDescent="0.25">
      <c r="A22" s="3">
        <v>38960</v>
      </c>
      <c r="B22" s="26">
        <v>852299</v>
      </c>
      <c r="C22" s="26">
        <v>1113.0250000000001</v>
      </c>
      <c r="D22" s="26" t="s">
        <v>464</v>
      </c>
      <c r="E22" s="26">
        <v>113267.2</v>
      </c>
      <c r="F22" s="26">
        <v>11797.4</v>
      </c>
      <c r="H22" s="3">
        <f t="shared" si="0"/>
        <v>38960</v>
      </c>
      <c r="I22" s="26">
        <f t="shared" si="1"/>
        <v>852299</v>
      </c>
      <c r="J22" s="26">
        <f t="shared" si="2"/>
        <v>1202846.1174999999</v>
      </c>
      <c r="K22" s="26" t="str">
        <f t="shared" si="3"/>
        <v/>
      </c>
      <c r="L22" s="26">
        <f t="shared" si="4"/>
        <v>882351.48800000001</v>
      </c>
      <c r="M22" s="26">
        <f t="shared" si="5"/>
        <v>1814322.1460000002</v>
      </c>
      <c r="N22" s="65">
        <f t="shared" si="6"/>
        <v>4751818.7515000002</v>
      </c>
    </row>
    <row r="23" spans="1:14" x14ac:dyDescent="0.25">
      <c r="A23" s="3">
        <v>38989</v>
      </c>
      <c r="B23" s="26">
        <v>851033</v>
      </c>
      <c r="C23" s="26">
        <v>1118.3150000000001</v>
      </c>
      <c r="D23" s="26" t="s">
        <v>464</v>
      </c>
      <c r="E23" s="26">
        <v>117029.9</v>
      </c>
      <c r="F23" s="26">
        <v>11973.96</v>
      </c>
      <c r="H23" s="3">
        <f t="shared" si="0"/>
        <v>38989</v>
      </c>
      <c r="I23" s="26">
        <f t="shared" si="1"/>
        <v>851033</v>
      </c>
      <c r="J23" s="26">
        <f t="shared" si="2"/>
        <v>1208563.0205000001</v>
      </c>
      <c r="K23" s="26" t="str">
        <f t="shared" si="3"/>
        <v/>
      </c>
      <c r="L23" s="26">
        <f t="shared" si="4"/>
        <v>911662.92099999997</v>
      </c>
      <c r="M23" s="26">
        <f t="shared" si="5"/>
        <v>1841475.3084000002</v>
      </c>
      <c r="N23" s="65">
        <f t="shared" si="6"/>
        <v>4812734.2499000002</v>
      </c>
    </row>
    <row r="24" spans="1:14" x14ac:dyDescent="0.25">
      <c r="A24" s="3">
        <v>39021</v>
      </c>
      <c r="B24" s="26">
        <v>853681</v>
      </c>
      <c r="C24" s="26">
        <v>1118.7360000000001</v>
      </c>
      <c r="D24" s="26" t="s">
        <v>464</v>
      </c>
      <c r="E24" s="26">
        <v>115199.4</v>
      </c>
      <c r="F24" s="26">
        <v>12188.99</v>
      </c>
      <c r="H24" s="3">
        <f t="shared" si="0"/>
        <v>39021</v>
      </c>
      <c r="I24" s="26">
        <f t="shared" si="1"/>
        <v>853681</v>
      </c>
      <c r="J24" s="26">
        <f t="shared" si="2"/>
        <v>1209017.9952</v>
      </c>
      <c r="K24" s="26" t="str">
        <f t="shared" si="3"/>
        <v/>
      </c>
      <c r="L24" s="26">
        <f t="shared" si="4"/>
        <v>897403.326</v>
      </c>
      <c r="M24" s="26">
        <f t="shared" si="5"/>
        <v>1874544.7721000002</v>
      </c>
      <c r="N24" s="65">
        <f t="shared" si="6"/>
        <v>4834647.0932999998</v>
      </c>
    </row>
    <row r="25" spans="1:14" x14ac:dyDescent="0.25">
      <c r="A25" s="3">
        <v>39051</v>
      </c>
      <c r="B25" s="26">
        <v>857498</v>
      </c>
      <c r="C25" s="26">
        <v>1133.3140000000001</v>
      </c>
      <c r="D25" s="26" t="s">
        <v>464</v>
      </c>
      <c r="E25" s="26">
        <v>118541.5</v>
      </c>
      <c r="F25" s="26">
        <v>12430.65</v>
      </c>
      <c r="H25" s="3">
        <f t="shared" si="0"/>
        <v>39051</v>
      </c>
      <c r="I25" s="26">
        <f t="shared" si="1"/>
        <v>857498</v>
      </c>
      <c r="J25" s="26">
        <f t="shared" si="2"/>
        <v>1224772.4398000001</v>
      </c>
      <c r="K25" s="26" t="str">
        <f t="shared" si="3"/>
        <v/>
      </c>
      <c r="L25" s="26">
        <f t="shared" si="4"/>
        <v>923438.28500000003</v>
      </c>
      <c r="M25" s="26">
        <f t="shared" si="5"/>
        <v>1911709.6635</v>
      </c>
      <c r="N25" s="65">
        <f t="shared" si="6"/>
        <v>4917418.3882999998</v>
      </c>
    </row>
    <row r="26" spans="1:14" x14ac:dyDescent="0.25">
      <c r="A26" s="3">
        <v>39080</v>
      </c>
      <c r="B26" s="26">
        <v>871162</v>
      </c>
      <c r="C26" s="26">
        <v>1150.98</v>
      </c>
      <c r="D26" s="26" t="s">
        <v>464</v>
      </c>
      <c r="E26" s="26">
        <v>115543.7</v>
      </c>
      <c r="F26" s="26">
        <v>12857.47</v>
      </c>
      <c r="H26" s="3">
        <f t="shared" si="0"/>
        <v>39080</v>
      </c>
      <c r="I26" s="26">
        <f t="shared" si="1"/>
        <v>871162</v>
      </c>
      <c r="J26" s="26">
        <f t="shared" si="2"/>
        <v>1243864.0859999999</v>
      </c>
      <c r="K26" s="26" t="str">
        <f t="shared" si="3"/>
        <v/>
      </c>
      <c r="L26" s="26">
        <f t="shared" si="4"/>
        <v>900085.42299999995</v>
      </c>
      <c r="M26" s="26">
        <f t="shared" si="5"/>
        <v>1977350.3113000002</v>
      </c>
      <c r="N26" s="65">
        <f t="shared" si="6"/>
        <v>4992461.8202999998</v>
      </c>
    </row>
    <row r="27" spans="1:14" x14ac:dyDescent="0.25">
      <c r="A27" s="3">
        <v>39113</v>
      </c>
      <c r="B27" s="26">
        <v>866559</v>
      </c>
      <c r="C27" s="26">
        <v>1148.1479999999999</v>
      </c>
      <c r="D27" s="26" t="s">
        <v>464</v>
      </c>
      <c r="E27" s="26">
        <v>114622.3</v>
      </c>
      <c r="F27" s="26">
        <v>13250.78</v>
      </c>
      <c r="H27" s="3">
        <f t="shared" si="0"/>
        <v>39113</v>
      </c>
      <c r="I27" s="26">
        <f t="shared" si="1"/>
        <v>866559</v>
      </c>
      <c r="J27" s="26">
        <f t="shared" si="2"/>
        <v>1240803.5436</v>
      </c>
      <c r="K27" s="26" t="str">
        <f t="shared" si="3"/>
        <v/>
      </c>
      <c r="L27" s="26">
        <f t="shared" si="4"/>
        <v>892907.71700000006</v>
      </c>
      <c r="M27" s="26">
        <f t="shared" si="5"/>
        <v>2037837.4562000001</v>
      </c>
      <c r="N27" s="65">
        <f t="shared" si="6"/>
        <v>5038107.7168000005</v>
      </c>
    </row>
    <row r="28" spans="1:14" x14ac:dyDescent="0.25">
      <c r="A28" s="3">
        <v>39141</v>
      </c>
      <c r="B28" s="26">
        <v>878205</v>
      </c>
      <c r="C28" s="26">
        <v>1150.396</v>
      </c>
      <c r="D28" s="26" t="s">
        <v>464</v>
      </c>
      <c r="E28" s="26">
        <v>117694.8</v>
      </c>
      <c r="F28" s="26">
        <v>13559.15</v>
      </c>
      <c r="H28" s="3">
        <f t="shared" si="0"/>
        <v>39141</v>
      </c>
      <c r="I28" s="26">
        <f t="shared" si="1"/>
        <v>878205</v>
      </c>
      <c r="J28" s="26">
        <f t="shared" si="2"/>
        <v>1243232.9572000001</v>
      </c>
      <c r="K28" s="26" t="str">
        <f t="shared" si="3"/>
        <v/>
      </c>
      <c r="L28" s="26">
        <f t="shared" si="4"/>
        <v>916842.49199999997</v>
      </c>
      <c r="M28" s="26">
        <f t="shared" si="5"/>
        <v>2085261.6785000002</v>
      </c>
      <c r="N28" s="65">
        <f t="shared" si="6"/>
        <v>5123542.1277000001</v>
      </c>
    </row>
    <row r="29" spans="1:14" x14ac:dyDescent="0.25">
      <c r="A29" s="3">
        <v>39171</v>
      </c>
      <c r="B29" s="26">
        <v>870656</v>
      </c>
      <c r="C29" s="26">
        <v>1162.604</v>
      </c>
      <c r="D29" s="26" t="s">
        <v>464</v>
      </c>
      <c r="E29" s="26">
        <v>112120.9</v>
      </c>
      <c r="F29" s="26">
        <v>13910.83</v>
      </c>
      <c r="H29" s="3">
        <f t="shared" si="0"/>
        <v>39171</v>
      </c>
      <c r="I29" s="26">
        <f t="shared" si="1"/>
        <v>870656</v>
      </c>
      <c r="J29" s="26">
        <f t="shared" si="2"/>
        <v>1256426.1428</v>
      </c>
      <c r="K29" s="26" t="str">
        <f t="shared" si="3"/>
        <v/>
      </c>
      <c r="L29" s="26">
        <f t="shared" si="4"/>
        <v>873421.81099999999</v>
      </c>
      <c r="M29" s="26">
        <f t="shared" si="5"/>
        <v>2139346.5457000001</v>
      </c>
      <c r="N29" s="65">
        <f t="shared" si="6"/>
        <v>5139850.4995000008</v>
      </c>
    </row>
    <row r="30" spans="1:14" x14ac:dyDescent="0.25">
      <c r="A30" s="3">
        <v>39202</v>
      </c>
      <c r="B30" s="26">
        <v>880456</v>
      </c>
      <c r="C30" s="26">
        <v>1176.308</v>
      </c>
      <c r="D30" s="26" t="s">
        <v>464</v>
      </c>
      <c r="E30" s="26">
        <v>106005.4</v>
      </c>
      <c r="F30" s="26">
        <v>14228.15</v>
      </c>
      <c r="H30" s="3">
        <f t="shared" si="0"/>
        <v>39202</v>
      </c>
      <c r="I30" s="26">
        <f t="shared" si="1"/>
        <v>880456</v>
      </c>
      <c r="J30" s="26">
        <f t="shared" si="2"/>
        <v>1271236.0556000001</v>
      </c>
      <c r="K30" s="26" t="str">
        <f t="shared" si="3"/>
        <v/>
      </c>
      <c r="L30" s="26">
        <f t="shared" si="4"/>
        <v>825782.06599999999</v>
      </c>
      <c r="M30" s="26">
        <f t="shared" si="5"/>
        <v>2188147.1885000002</v>
      </c>
      <c r="N30" s="65">
        <f t="shared" si="6"/>
        <v>5165621.3101000004</v>
      </c>
    </row>
    <row r="31" spans="1:14" x14ac:dyDescent="0.25">
      <c r="A31" s="3">
        <v>39233</v>
      </c>
      <c r="B31" s="26">
        <v>878220</v>
      </c>
      <c r="C31" s="26">
        <v>1187.0519999999999</v>
      </c>
      <c r="D31" s="26" t="s">
        <v>464</v>
      </c>
      <c r="E31" s="26">
        <v>107510.5</v>
      </c>
      <c r="F31" s="26">
        <v>14540.51</v>
      </c>
      <c r="H31" s="3">
        <f t="shared" si="0"/>
        <v>39233</v>
      </c>
      <c r="I31" s="26">
        <f t="shared" si="1"/>
        <v>878220</v>
      </c>
      <c r="J31" s="26">
        <f t="shared" si="2"/>
        <v>1282847.0963999999</v>
      </c>
      <c r="K31" s="26" t="str">
        <f t="shared" si="3"/>
        <v/>
      </c>
      <c r="L31" s="26">
        <f t="shared" si="4"/>
        <v>837506.79500000004</v>
      </c>
      <c r="M31" s="26">
        <f t="shared" si="5"/>
        <v>2236185.0329</v>
      </c>
      <c r="N31" s="65">
        <f t="shared" si="6"/>
        <v>5234758.9243000001</v>
      </c>
    </row>
    <row r="32" spans="1:14" x14ac:dyDescent="0.25">
      <c r="A32" s="3">
        <v>39262</v>
      </c>
      <c r="B32" s="26">
        <v>865949</v>
      </c>
      <c r="C32" s="26">
        <v>1208.453</v>
      </c>
      <c r="D32" s="26" t="s">
        <v>464</v>
      </c>
      <c r="E32" s="26">
        <v>100071.2</v>
      </c>
      <c r="F32" s="26">
        <v>14810.54</v>
      </c>
      <c r="H32" s="3">
        <f t="shared" si="0"/>
        <v>39262</v>
      </c>
      <c r="I32" s="26">
        <f t="shared" si="1"/>
        <v>865949</v>
      </c>
      <c r="J32" s="26">
        <f t="shared" si="2"/>
        <v>1305975.1571</v>
      </c>
      <c r="K32" s="26" t="str">
        <f t="shared" si="3"/>
        <v/>
      </c>
      <c r="L32" s="26">
        <f t="shared" si="4"/>
        <v>779554.64800000004</v>
      </c>
      <c r="M32" s="26">
        <f t="shared" si="5"/>
        <v>2277712.9466000004</v>
      </c>
      <c r="N32" s="65">
        <f t="shared" si="6"/>
        <v>5229191.7517000008</v>
      </c>
    </row>
    <row r="33" spans="1:14" x14ac:dyDescent="0.25">
      <c r="A33" s="3">
        <v>39294</v>
      </c>
      <c r="B33" s="26">
        <v>864700</v>
      </c>
      <c r="C33" s="26">
        <v>1212.5840000000001</v>
      </c>
      <c r="D33" s="26" t="s">
        <v>464</v>
      </c>
      <c r="E33" s="26">
        <v>107717.1</v>
      </c>
      <c r="F33" s="26">
        <v>15188.1</v>
      </c>
      <c r="H33" s="3">
        <f t="shared" si="0"/>
        <v>39294</v>
      </c>
      <c r="I33" s="26">
        <f t="shared" si="1"/>
        <v>864700</v>
      </c>
      <c r="J33" s="26">
        <f t="shared" si="2"/>
        <v>1310439.5288</v>
      </c>
      <c r="K33" s="26" t="str">
        <f t="shared" si="3"/>
        <v/>
      </c>
      <c r="L33" s="26">
        <f t="shared" si="4"/>
        <v>839116.20900000003</v>
      </c>
      <c r="M33" s="26">
        <f t="shared" si="5"/>
        <v>2335777.8990000002</v>
      </c>
      <c r="N33" s="65">
        <f t="shared" si="6"/>
        <v>5350033.6368000004</v>
      </c>
    </row>
    <row r="34" spans="1:14" x14ac:dyDescent="0.25">
      <c r="A34" s="3">
        <v>39325</v>
      </c>
      <c r="B34" s="26">
        <v>873589</v>
      </c>
      <c r="C34" s="26">
        <v>1157.5340000000001</v>
      </c>
      <c r="D34" s="26" t="s">
        <v>464</v>
      </c>
      <c r="E34" s="26">
        <v>110791.7</v>
      </c>
      <c r="F34" s="26">
        <v>15460.9</v>
      </c>
      <c r="H34" s="3">
        <f t="shared" si="0"/>
        <v>39325</v>
      </c>
      <c r="I34" s="26">
        <f t="shared" si="1"/>
        <v>873589</v>
      </c>
      <c r="J34" s="26">
        <f t="shared" si="2"/>
        <v>1250946.9938000001</v>
      </c>
      <c r="K34" s="26" t="str">
        <f t="shared" si="3"/>
        <v/>
      </c>
      <c r="L34" s="26">
        <f t="shared" si="4"/>
        <v>863067.34299999999</v>
      </c>
      <c r="M34" s="26">
        <f t="shared" si="5"/>
        <v>2377731.8110000002</v>
      </c>
      <c r="N34" s="65">
        <f t="shared" si="6"/>
        <v>5365335.1478000004</v>
      </c>
    </row>
    <row r="35" spans="1:14" x14ac:dyDescent="0.25">
      <c r="A35" s="3">
        <v>39353</v>
      </c>
      <c r="B35" s="26">
        <v>890671</v>
      </c>
      <c r="C35" s="26">
        <v>1250.396</v>
      </c>
      <c r="D35" s="26" t="s">
        <v>464</v>
      </c>
      <c r="E35" s="26">
        <v>110532.4</v>
      </c>
      <c r="F35" s="26">
        <v>15936.09</v>
      </c>
      <c r="H35" s="3">
        <f t="shared" si="0"/>
        <v>39353</v>
      </c>
      <c r="I35" s="26">
        <f t="shared" si="1"/>
        <v>890671</v>
      </c>
      <c r="J35" s="26">
        <f t="shared" si="2"/>
        <v>1351302.9572000001</v>
      </c>
      <c r="K35" s="26" t="str">
        <f t="shared" si="3"/>
        <v/>
      </c>
      <c r="L35" s="26">
        <f t="shared" si="4"/>
        <v>861047.39599999995</v>
      </c>
      <c r="M35" s="26">
        <f t="shared" si="5"/>
        <v>2450811.2811000003</v>
      </c>
      <c r="N35" s="65">
        <f t="shared" si="6"/>
        <v>5553832.6343</v>
      </c>
    </row>
    <row r="36" spans="1:14" x14ac:dyDescent="0.25">
      <c r="A36" s="3">
        <v>39386</v>
      </c>
      <c r="B36" s="26">
        <v>884044</v>
      </c>
      <c r="C36" s="26">
        <v>1263.5039999999999</v>
      </c>
      <c r="D36" s="26" t="s">
        <v>464</v>
      </c>
      <c r="E36" s="26">
        <v>107347.3</v>
      </c>
      <c r="F36" s="26">
        <v>16120.24</v>
      </c>
      <c r="H36" s="3">
        <f t="shared" si="0"/>
        <v>39386</v>
      </c>
      <c r="I36" s="26">
        <f t="shared" si="1"/>
        <v>884044</v>
      </c>
      <c r="J36" s="26">
        <f t="shared" si="2"/>
        <v>1365468.7727999999</v>
      </c>
      <c r="K36" s="26" t="str">
        <f t="shared" si="3"/>
        <v/>
      </c>
      <c r="L36" s="26">
        <f t="shared" si="4"/>
        <v>836235.46700000006</v>
      </c>
      <c r="M36" s="26">
        <f t="shared" si="5"/>
        <v>2479131.7096000002</v>
      </c>
      <c r="N36" s="65">
        <f t="shared" si="6"/>
        <v>5564879.9494000003</v>
      </c>
    </row>
    <row r="37" spans="1:14" x14ac:dyDescent="0.25">
      <c r="A37" s="3">
        <v>39416</v>
      </c>
      <c r="B37" s="26">
        <v>879893</v>
      </c>
      <c r="C37" s="26">
        <v>1297.2660000000001</v>
      </c>
      <c r="D37" s="26" t="s">
        <v>464</v>
      </c>
      <c r="E37" s="26">
        <v>111493.9</v>
      </c>
      <c r="F37" s="26">
        <v>16530</v>
      </c>
      <c r="H37" s="3">
        <f t="shared" si="0"/>
        <v>39416</v>
      </c>
      <c r="I37" s="26">
        <f t="shared" si="1"/>
        <v>879893</v>
      </c>
      <c r="J37" s="26">
        <f t="shared" si="2"/>
        <v>1401955.3662</v>
      </c>
      <c r="K37" s="26" t="str">
        <f t="shared" si="3"/>
        <v/>
      </c>
      <c r="L37" s="26">
        <f t="shared" si="4"/>
        <v>868537.48100000003</v>
      </c>
      <c r="M37" s="26">
        <f t="shared" si="5"/>
        <v>2542148.7000000002</v>
      </c>
      <c r="N37" s="65">
        <f t="shared" si="6"/>
        <v>5692534.5471999999</v>
      </c>
    </row>
    <row r="38" spans="1:14" x14ac:dyDescent="0.25">
      <c r="A38" s="3">
        <v>39447</v>
      </c>
      <c r="B38" s="26">
        <v>891158</v>
      </c>
      <c r="C38" s="26">
        <v>1511.2439999999999</v>
      </c>
      <c r="D38" s="26" t="s">
        <v>464</v>
      </c>
      <c r="E38" s="26">
        <v>111284.5</v>
      </c>
      <c r="F38" s="26">
        <v>16913.98</v>
      </c>
      <c r="H38" s="3">
        <f t="shared" si="0"/>
        <v>39447</v>
      </c>
      <c r="I38" s="26">
        <f t="shared" si="1"/>
        <v>891158</v>
      </c>
      <c r="J38" s="26">
        <f t="shared" si="2"/>
        <v>1633201.3907999999</v>
      </c>
      <c r="K38" s="26" t="str">
        <f t="shared" si="3"/>
        <v/>
      </c>
      <c r="L38" s="26">
        <f t="shared" si="4"/>
        <v>866906.255</v>
      </c>
      <c r="M38" s="26">
        <f t="shared" si="5"/>
        <v>2601200.9842000003</v>
      </c>
      <c r="N38" s="65">
        <f t="shared" si="6"/>
        <v>5992466.6300000008</v>
      </c>
    </row>
    <row r="39" spans="1:14" x14ac:dyDescent="0.25">
      <c r="A39" s="3">
        <v>39478</v>
      </c>
      <c r="B39" s="26">
        <v>900810</v>
      </c>
      <c r="C39" s="26">
        <v>1337.5419999999999</v>
      </c>
      <c r="D39" s="26" t="s">
        <v>464</v>
      </c>
      <c r="E39" s="26">
        <v>113060.4</v>
      </c>
      <c r="F39" s="26">
        <v>17446.29</v>
      </c>
      <c r="H39" s="3">
        <f t="shared" si="0"/>
        <v>39478</v>
      </c>
      <c r="I39" s="26">
        <f t="shared" si="1"/>
        <v>900810</v>
      </c>
      <c r="J39" s="26">
        <f t="shared" si="2"/>
        <v>1445481.6394</v>
      </c>
      <c r="K39" s="26" t="str">
        <f t="shared" si="3"/>
        <v/>
      </c>
      <c r="L39" s="26">
        <f t="shared" si="4"/>
        <v>880740.51600000006</v>
      </c>
      <c r="M39" s="26">
        <f t="shared" si="5"/>
        <v>2683064.9391000001</v>
      </c>
      <c r="N39" s="65">
        <f t="shared" si="6"/>
        <v>5910097.0944999997</v>
      </c>
    </row>
    <row r="40" spans="1:14" x14ac:dyDescent="0.25">
      <c r="A40" s="3">
        <v>39507</v>
      </c>
      <c r="B40" s="26">
        <v>894294</v>
      </c>
      <c r="C40" s="26">
        <v>1336.758</v>
      </c>
      <c r="D40" s="26" t="s">
        <v>464</v>
      </c>
      <c r="E40" s="26">
        <v>114247.8</v>
      </c>
      <c r="F40" s="26">
        <v>17806.189999999999</v>
      </c>
      <c r="H40" s="3">
        <f t="shared" si="0"/>
        <v>39507</v>
      </c>
      <c r="I40" s="26">
        <f t="shared" si="1"/>
        <v>894294</v>
      </c>
      <c r="J40" s="26">
        <f t="shared" si="2"/>
        <v>1444634.3706</v>
      </c>
      <c r="K40" s="26" t="str">
        <f t="shared" si="3"/>
        <v/>
      </c>
      <c r="L40" s="26">
        <f t="shared" si="4"/>
        <v>889990.36199999996</v>
      </c>
      <c r="M40" s="26">
        <f t="shared" si="5"/>
        <v>2738413.9601000003</v>
      </c>
      <c r="N40" s="65">
        <f t="shared" si="6"/>
        <v>5967332.6927000005</v>
      </c>
    </row>
    <row r="41" spans="1:14" x14ac:dyDescent="0.25">
      <c r="A41" s="3">
        <v>39538</v>
      </c>
      <c r="B41" s="26">
        <v>894437</v>
      </c>
      <c r="C41" s="26">
        <v>1390.8040000000001</v>
      </c>
      <c r="D41" s="26" t="s">
        <v>464</v>
      </c>
      <c r="E41" s="26">
        <v>113572.8</v>
      </c>
      <c r="F41" s="26">
        <v>18204.78</v>
      </c>
      <c r="H41" s="3">
        <f t="shared" si="0"/>
        <v>39538</v>
      </c>
      <c r="I41" s="26">
        <f t="shared" si="1"/>
        <v>894437</v>
      </c>
      <c r="J41" s="26">
        <f t="shared" si="2"/>
        <v>1503041.8828</v>
      </c>
      <c r="K41" s="26" t="str">
        <f t="shared" si="3"/>
        <v/>
      </c>
      <c r="L41" s="26">
        <f t="shared" si="4"/>
        <v>884732.11199999996</v>
      </c>
      <c r="M41" s="26">
        <f t="shared" si="5"/>
        <v>2799713.1162</v>
      </c>
      <c r="N41" s="65">
        <f t="shared" si="6"/>
        <v>6081924.1109999996</v>
      </c>
    </row>
    <row r="42" spans="1:14" x14ac:dyDescent="0.25">
      <c r="A42" s="3">
        <v>39568</v>
      </c>
      <c r="B42" s="26">
        <v>888721</v>
      </c>
      <c r="C42" s="26">
        <v>1405.8589999999999</v>
      </c>
      <c r="D42" s="26" t="s">
        <v>464</v>
      </c>
      <c r="E42" s="26">
        <v>107222.5</v>
      </c>
      <c r="F42" s="26">
        <v>18744.169999999998</v>
      </c>
      <c r="H42" s="3">
        <f t="shared" si="0"/>
        <v>39568</v>
      </c>
      <c r="I42" s="26">
        <f t="shared" si="1"/>
        <v>888721</v>
      </c>
      <c r="J42" s="26">
        <f t="shared" si="2"/>
        <v>1519311.8213</v>
      </c>
      <c r="K42" s="26" t="str">
        <f t="shared" si="3"/>
        <v/>
      </c>
      <c r="L42" s="26">
        <f t="shared" si="4"/>
        <v>835263.27500000002</v>
      </c>
      <c r="M42" s="26">
        <f t="shared" si="5"/>
        <v>2882665.9043000001</v>
      </c>
      <c r="N42" s="65">
        <f t="shared" si="6"/>
        <v>6125962.0005999999</v>
      </c>
    </row>
    <row r="43" spans="1:14" x14ac:dyDescent="0.25">
      <c r="A43" s="3">
        <v>39598</v>
      </c>
      <c r="B43" s="26">
        <v>904977</v>
      </c>
      <c r="C43" s="26">
        <v>1423.2449999999999</v>
      </c>
      <c r="D43" s="26" t="s">
        <v>464</v>
      </c>
      <c r="E43" s="26">
        <v>110127.3</v>
      </c>
      <c r="F43" s="26">
        <v>19104.849999999999</v>
      </c>
      <c r="H43" s="3">
        <f t="shared" si="0"/>
        <v>39598</v>
      </c>
      <c r="I43" s="26">
        <f t="shared" si="1"/>
        <v>904977</v>
      </c>
      <c r="J43" s="26">
        <f t="shared" si="2"/>
        <v>1538100.8714999999</v>
      </c>
      <c r="K43" s="26" t="str">
        <f t="shared" si="3"/>
        <v/>
      </c>
      <c r="L43" s="26">
        <f t="shared" si="4"/>
        <v>857891.66700000002</v>
      </c>
      <c r="M43" s="26">
        <f t="shared" si="5"/>
        <v>2938134.8815000001</v>
      </c>
      <c r="N43" s="65">
        <f t="shared" si="6"/>
        <v>6239104.4199999999</v>
      </c>
    </row>
    <row r="44" spans="1:14" x14ac:dyDescent="0.25">
      <c r="A44" s="3">
        <v>39629</v>
      </c>
      <c r="B44" s="26">
        <v>893196</v>
      </c>
      <c r="C44" s="26">
        <v>1462.71</v>
      </c>
      <c r="D44" s="26" t="s">
        <v>464</v>
      </c>
      <c r="E44" s="26">
        <v>101420</v>
      </c>
      <c r="F44" s="26">
        <v>19410.490000000002</v>
      </c>
      <c r="H44" s="3">
        <f t="shared" si="0"/>
        <v>39629</v>
      </c>
      <c r="I44" s="26">
        <f t="shared" si="1"/>
        <v>893196</v>
      </c>
      <c r="J44" s="26">
        <f t="shared" si="2"/>
        <v>1580750.6969999999</v>
      </c>
      <c r="K44" s="26" t="str">
        <f t="shared" si="3"/>
        <v/>
      </c>
      <c r="L44" s="26">
        <f t="shared" si="4"/>
        <v>790061.8</v>
      </c>
      <c r="M44" s="26">
        <f t="shared" si="5"/>
        <v>2985139.2571</v>
      </c>
      <c r="N44" s="65">
        <f t="shared" si="6"/>
        <v>6249147.7540999996</v>
      </c>
    </row>
    <row r="45" spans="1:14" x14ac:dyDescent="0.25">
      <c r="A45" s="3">
        <v>39660</v>
      </c>
      <c r="B45" s="26">
        <v>919115</v>
      </c>
      <c r="C45" s="26">
        <v>1450.8989999999999</v>
      </c>
      <c r="D45" s="26" t="s">
        <v>464</v>
      </c>
      <c r="E45" s="26">
        <v>108365.2</v>
      </c>
      <c r="F45" s="26">
        <v>19747.29</v>
      </c>
      <c r="H45" s="3">
        <f t="shared" si="0"/>
        <v>39660</v>
      </c>
      <c r="I45" s="26">
        <f t="shared" si="1"/>
        <v>919115</v>
      </c>
      <c r="J45" s="26">
        <f t="shared" si="2"/>
        <v>1567986.5493000001</v>
      </c>
      <c r="K45" s="26" t="str">
        <f t="shared" si="3"/>
        <v/>
      </c>
      <c r="L45" s="26">
        <f t="shared" si="4"/>
        <v>844164.90800000005</v>
      </c>
      <c r="M45" s="26">
        <f t="shared" si="5"/>
        <v>3036935.7291000001</v>
      </c>
      <c r="N45" s="65">
        <f t="shared" si="6"/>
        <v>6368202.1864</v>
      </c>
    </row>
    <row r="46" spans="1:14" x14ac:dyDescent="0.25">
      <c r="A46" s="3">
        <v>39689</v>
      </c>
      <c r="B46" s="26">
        <v>910543</v>
      </c>
      <c r="C46" s="26">
        <v>1449.1389999999999</v>
      </c>
      <c r="D46" s="26" t="s">
        <v>464</v>
      </c>
      <c r="E46" s="26">
        <v>109887.1</v>
      </c>
      <c r="F46" s="26">
        <v>19926.490000000002</v>
      </c>
      <c r="H46" s="3">
        <f t="shared" si="0"/>
        <v>39689</v>
      </c>
      <c r="I46" s="26">
        <f t="shared" si="1"/>
        <v>910543</v>
      </c>
      <c r="J46" s="26">
        <f t="shared" si="2"/>
        <v>1566084.5172999999</v>
      </c>
      <c r="K46" s="26" t="str">
        <f t="shared" si="3"/>
        <v/>
      </c>
      <c r="L46" s="26">
        <f t="shared" si="4"/>
        <v>856020.50899999996</v>
      </c>
      <c r="M46" s="26">
        <f t="shared" si="5"/>
        <v>3064494.8971000002</v>
      </c>
      <c r="N46" s="65">
        <f t="shared" si="6"/>
        <v>6397142.9233999997</v>
      </c>
    </row>
    <row r="47" spans="1:14" x14ac:dyDescent="0.25">
      <c r="A47" s="3">
        <v>39721</v>
      </c>
      <c r="B47" s="26">
        <v>1212299</v>
      </c>
      <c r="C47" s="26">
        <v>1518.548</v>
      </c>
      <c r="D47" s="26" t="s">
        <v>464</v>
      </c>
      <c r="E47" s="26">
        <v>112587.3</v>
      </c>
      <c r="F47" s="26">
        <v>20292.439999999999</v>
      </c>
      <c r="H47" s="3">
        <f t="shared" si="0"/>
        <v>39721</v>
      </c>
      <c r="I47" s="26">
        <f t="shared" si="1"/>
        <v>1212299</v>
      </c>
      <c r="J47" s="26">
        <f t="shared" si="2"/>
        <v>1641094.8236</v>
      </c>
      <c r="K47" s="26" t="str">
        <f t="shared" si="3"/>
        <v/>
      </c>
      <c r="L47" s="26">
        <f t="shared" si="4"/>
        <v>877055.06700000004</v>
      </c>
      <c r="M47" s="26">
        <f t="shared" si="5"/>
        <v>3120774.3476</v>
      </c>
      <c r="N47" s="65">
        <f t="shared" si="6"/>
        <v>6851223.2381999996</v>
      </c>
    </row>
    <row r="48" spans="1:14" x14ac:dyDescent="0.25">
      <c r="A48" s="3">
        <v>39752</v>
      </c>
      <c r="B48" s="26">
        <v>1969444</v>
      </c>
      <c r="C48" s="26">
        <v>2031.4469999999999</v>
      </c>
      <c r="D48" s="26" t="s">
        <v>464</v>
      </c>
      <c r="E48" s="26">
        <v>116802.9</v>
      </c>
      <c r="F48" s="26">
        <v>20445.259999999998</v>
      </c>
      <c r="H48" s="3">
        <f t="shared" si="0"/>
        <v>39752</v>
      </c>
      <c r="I48" s="26">
        <f t="shared" si="1"/>
        <v>1969444</v>
      </c>
      <c r="J48" s="26">
        <f t="shared" si="2"/>
        <v>2195384.7729000002</v>
      </c>
      <c r="K48" s="26" t="str">
        <f t="shared" si="3"/>
        <v/>
      </c>
      <c r="L48" s="26">
        <f t="shared" si="4"/>
        <v>909894.59100000001</v>
      </c>
      <c r="M48" s="26">
        <f t="shared" si="5"/>
        <v>3144276.5354000004</v>
      </c>
      <c r="N48" s="65">
        <f t="shared" si="6"/>
        <v>8218999.8993000006</v>
      </c>
    </row>
    <row r="49" spans="1:14" x14ac:dyDescent="0.25">
      <c r="A49" s="3">
        <v>39780</v>
      </c>
      <c r="B49" s="26">
        <v>2106615</v>
      </c>
      <c r="C49" s="26">
        <v>1979.0509999999999</v>
      </c>
      <c r="D49" s="26" t="s">
        <v>464</v>
      </c>
      <c r="E49" s="26">
        <v>121526.3</v>
      </c>
      <c r="F49" s="26">
        <v>20480.060000000001</v>
      </c>
      <c r="H49" s="3">
        <f t="shared" si="0"/>
        <v>39780</v>
      </c>
      <c r="I49" s="26">
        <f t="shared" si="1"/>
        <v>2106615</v>
      </c>
      <c r="J49" s="26">
        <f t="shared" si="2"/>
        <v>2138760.4156999998</v>
      </c>
      <c r="K49" s="26" t="str">
        <f t="shared" si="3"/>
        <v/>
      </c>
      <c r="L49" s="26">
        <f t="shared" si="4"/>
        <v>946689.87699999998</v>
      </c>
      <c r="M49" s="26">
        <f t="shared" si="5"/>
        <v>3149628.4274000004</v>
      </c>
      <c r="N49" s="65">
        <f t="shared" si="6"/>
        <v>8341693.7201000005</v>
      </c>
    </row>
    <row r="50" spans="1:14" x14ac:dyDescent="0.25">
      <c r="A50" s="3">
        <v>39813</v>
      </c>
      <c r="B50" s="26">
        <v>2239854</v>
      </c>
      <c r="C50" s="26">
        <v>2043.4649999999999</v>
      </c>
      <c r="D50" s="26" t="s">
        <v>464</v>
      </c>
      <c r="E50" s="26">
        <v>122770.9</v>
      </c>
      <c r="F50" s="26">
        <v>20709.599999999999</v>
      </c>
      <c r="H50" s="3">
        <f t="shared" si="0"/>
        <v>39813</v>
      </c>
      <c r="I50" s="26">
        <f t="shared" si="1"/>
        <v>2239854</v>
      </c>
      <c r="J50" s="26">
        <f t="shared" si="2"/>
        <v>2208372.6255000001</v>
      </c>
      <c r="K50" s="26" t="str">
        <f t="shared" si="3"/>
        <v/>
      </c>
      <c r="L50" s="26">
        <f t="shared" si="4"/>
        <v>956385.31099999999</v>
      </c>
      <c r="M50" s="26">
        <f t="shared" si="5"/>
        <v>3184929.3840000001</v>
      </c>
      <c r="N50" s="65">
        <f t="shared" si="6"/>
        <v>8589541.3204999994</v>
      </c>
    </row>
    <row r="51" spans="1:14" x14ac:dyDescent="0.25">
      <c r="A51" s="3">
        <v>39843</v>
      </c>
      <c r="B51" s="26">
        <v>1927437</v>
      </c>
      <c r="C51" s="26">
        <v>1906.979</v>
      </c>
      <c r="D51" s="26" t="s">
        <v>464</v>
      </c>
      <c r="E51" s="26">
        <v>119513.5</v>
      </c>
      <c r="F51" s="26">
        <v>20825.509999999998</v>
      </c>
      <c r="H51" s="3">
        <f t="shared" si="0"/>
        <v>39843</v>
      </c>
      <c r="I51" s="26">
        <f t="shared" si="1"/>
        <v>1927437</v>
      </c>
      <c r="J51" s="26">
        <f t="shared" si="2"/>
        <v>2060872.2053</v>
      </c>
      <c r="K51" s="26" t="str">
        <f t="shared" si="3"/>
        <v/>
      </c>
      <c r="L51" s="26">
        <f t="shared" si="4"/>
        <v>931010.16500000004</v>
      </c>
      <c r="M51" s="26">
        <f t="shared" si="5"/>
        <v>3202755.1829000004</v>
      </c>
      <c r="N51" s="65">
        <f t="shared" si="6"/>
        <v>8122074.5532000009</v>
      </c>
    </row>
    <row r="52" spans="1:14" x14ac:dyDescent="0.25">
      <c r="A52" s="3">
        <v>39871</v>
      </c>
      <c r="B52" s="26">
        <v>1916461</v>
      </c>
      <c r="C52" s="26">
        <v>1820.268</v>
      </c>
      <c r="D52" s="26" t="s">
        <v>464</v>
      </c>
      <c r="E52" s="26">
        <v>122173</v>
      </c>
      <c r="F52" s="26">
        <v>20961.650000000001</v>
      </c>
      <c r="H52" s="3">
        <f t="shared" si="0"/>
        <v>39871</v>
      </c>
      <c r="I52" s="26">
        <f t="shared" si="1"/>
        <v>1916461</v>
      </c>
      <c r="J52" s="26">
        <f t="shared" si="2"/>
        <v>1967163.6276</v>
      </c>
      <c r="K52" s="26" t="str">
        <f t="shared" si="3"/>
        <v/>
      </c>
      <c r="L52" s="26">
        <f t="shared" si="4"/>
        <v>951727.67</v>
      </c>
      <c r="M52" s="26">
        <f t="shared" si="5"/>
        <v>3223692.1535</v>
      </c>
      <c r="N52" s="65">
        <f t="shared" si="6"/>
        <v>8059044.4511000002</v>
      </c>
    </row>
    <row r="53" spans="1:14" x14ac:dyDescent="0.25">
      <c r="A53" s="3">
        <v>39903</v>
      </c>
      <c r="B53" s="26">
        <v>2071847</v>
      </c>
      <c r="C53" s="26">
        <v>1803.0830000000001</v>
      </c>
      <c r="D53" s="26" t="s">
        <v>464</v>
      </c>
      <c r="E53" s="26">
        <v>124317.1</v>
      </c>
      <c r="F53" s="26">
        <v>21064.27</v>
      </c>
      <c r="H53" s="3">
        <f t="shared" si="0"/>
        <v>39903</v>
      </c>
      <c r="I53" s="26">
        <f t="shared" si="1"/>
        <v>2071847</v>
      </c>
      <c r="J53" s="26">
        <f t="shared" si="2"/>
        <v>1948591.7981</v>
      </c>
      <c r="K53" s="26" t="str">
        <f t="shared" si="3"/>
        <v/>
      </c>
      <c r="L53" s="26">
        <f t="shared" si="4"/>
        <v>968430.20900000003</v>
      </c>
      <c r="M53" s="26">
        <f t="shared" si="5"/>
        <v>3239474.0833000001</v>
      </c>
      <c r="N53" s="65">
        <f t="shared" si="6"/>
        <v>8228343.0904000001</v>
      </c>
    </row>
    <row r="54" spans="1:14" x14ac:dyDescent="0.25">
      <c r="A54" s="3">
        <v>39933</v>
      </c>
      <c r="B54" s="26">
        <v>2067131</v>
      </c>
      <c r="C54" s="26">
        <v>1823.963</v>
      </c>
      <c r="D54" s="26" t="s">
        <v>464</v>
      </c>
      <c r="E54" s="26">
        <v>114798.3</v>
      </c>
      <c r="F54" s="26">
        <v>21227.46</v>
      </c>
      <c r="H54" s="3">
        <f t="shared" si="0"/>
        <v>39933</v>
      </c>
      <c r="I54" s="26">
        <f t="shared" si="1"/>
        <v>2067131</v>
      </c>
      <c r="J54" s="26">
        <f t="shared" si="2"/>
        <v>1971156.8141000001</v>
      </c>
      <c r="K54" s="26" t="str">
        <f t="shared" si="3"/>
        <v/>
      </c>
      <c r="L54" s="26">
        <f t="shared" si="4"/>
        <v>894278.75699999998</v>
      </c>
      <c r="M54" s="26">
        <f t="shared" si="5"/>
        <v>3264571.0734000001</v>
      </c>
      <c r="N54" s="65">
        <f t="shared" si="6"/>
        <v>8197137.6445000004</v>
      </c>
    </row>
    <row r="55" spans="1:14" x14ac:dyDescent="0.25">
      <c r="A55" s="3">
        <v>39962</v>
      </c>
      <c r="B55" s="26">
        <v>2080642</v>
      </c>
      <c r="C55" s="26">
        <v>1799.61</v>
      </c>
      <c r="D55" s="26" t="s">
        <v>464</v>
      </c>
      <c r="E55" s="26">
        <v>118797.3</v>
      </c>
      <c r="F55" s="26">
        <v>21602.28</v>
      </c>
      <c r="H55" s="3">
        <f t="shared" si="0"/>
        <v>39962</v>
      </c>
      <c r="I55" s="26">
        <f t="shared" si="1"/>
        <v>2080642</v>
      </c>
      <c r="J55" s="26">
        <f t="shared" si="2"/>
        <v>1944838.527</v>
      </c>
      <c r="K55" s="26" t="str">
        <f t="shared" si="3"/>
        <v/>
      </c>
      <c r="L55" s="26">
        <f t="shared" si="4"/>
        <v>925430.96700000006</v>
      </c>
      <c r="M55" s="26">
        <f t="shared" si="5"/>
        <v>3322214.6412000004</v>
      </c>
      <c r="N55" s="65">
        <f t="shared" si="6"/>
        <v>8273126.1352000004</v>
      </c>
    </row>
    <row r="56" spans="1:14" x14ac:dyDescent="0.25">
      <c r="A56" s="3">
        <v>39994</v>
      </c>
      <c r="B56" s="26">
        <v>2025828</v>
      </c>
      <c r="C56" s="26">
        <v>1997.319</v>
      </c>
      <c r="D56" s="26" t="s">
        <v>464</v>
      </c>
      <c r="E56" s="26">
        <v>109842.9</v>
      </c>
      <c r="F56" s="26">
        <v>21578.54</v>
      </c>
      <c r="H56" s="3">
        <f t="shared" si="0"/>
        <v>39994</v>
      </c>
      <c r="I56" s="26">
        <f t="shared" si="1"/>
        <v>2025828</v>
      </c>
      <c r="J56" s="26">
        <f t="shared" si="2"/>
        <v>2158502.6433000001</v>
      </c>
      <c r="K56" s="26" t="str">
        <f t="shared" si="3"/>
        <v/>
      </c>
      <c r="L56" s="26">
        <f t="shared" si="4"/>
        <v>855676.19099999999</v>
      </c>
      <c r="M56" s="26">
        <f t="shared" si="5"/>
        <v>3318563.6666000001</v>
      </c>
      <c r="N56" s="65">
        <f t="shared" si="6"/>
        <v>8358570.5009000003</v>
      </c>
    </row>
    <row r="57" spans="1:14" x14ac:dyDescent="0.25">
      <c r="A57" s="3">
        <v>40025</v>
      </c>
      <c r="B57" s="26">
        <v>2000966</v>
      </c>
      <c r="C57" s="26">
        <v>1854.0930000000001</v>
      </c>
      <c r="D57" s="26" t="s">
        <v>464</v>
      </c>
      <c r="E57" s="26">
        <v>114734.9</v>
      </c>
      <c r="F57" s="26">
        <v>21732.63</v>
      </c>
      <c r="H57" s="3">
        <f t="shared" si="0"/>
        <v>40025</v>
      </c>
      <c r="I57" s="26">
        <f t="shared" si="1"/>
        <v>2000966</v>
      </c>
      <c r="J57" s="26">
        <f t="shared" si="2"/>
        <v>2003718.3051</v>
      </c>
      <c r="K57" s="26" t="str">
        <f t="shared" si="3"/>
        <v/>
      </c>
      <c r="L57" s="26">
        <f t="shared" si="4"/>
        <v>893784.87100000004</v>
      </c>
      <c r="M57" s="26">
        <f t="shared" si="5"/>
        <v>3342261.1677000001</v>
      </c>
      <c r="N57" s="65">
        <f t="shared" si="6"/>
        <v>8240730.3437999999</v>
      </c>
    </row>
    <row r="58" spans="1:14" x14ac:dyDescent="0.25">
      <c r="A58" s="3">
        <v>40056</v>
      </c>
      <c r="B58" s="26">
        <v>2075243</v>
      </c>
      <c r="C58" s="26">
        <v>1821.3710000000001</v>
      </c>
      <c r="D58" s="26" t="s">
        <v>464</v>
      </c>
      <c r="E58" s="26">
        <v>117184.3</v>
      </c>
      <c r="F58" s="26">
        <v>21856.57</v>
      </c>
      <c r="H58" s="3">
        <f t="shared" si="0"/>
        <v>40056</v>
      </c>
      <c r="I58" s="26">
        <f t="shared" si="1"/>
        <v>2075243</v>
      </c>
      <c r="J58" s="26">
        <f t="shared" si="2"/>
        <v>1968355.6396999999</v>
      </c>
      <c r="K58" s="26" t="str">
        <f t="shared" si="3"/>
        <v/>
      </c>
      <c r="L58" s="26">
        <f t="shared" si="4"/>
        <v>912865.69700000004</v>
      </c>
      <c r="M58" s="26">
        <f t="shared" si="5"/>
        <v>3361321.9003000003</v>
      </c>
      <c r="N58" s="65">
        <f t="shared" si="6"/>
        <v>8317786.2369999997</v>
      </c>
    </row>
    <row r="59" spans="1:14" x14ac:dyDescent="0.25">
      <c r="A59" s="3">
        <v>40086</v>
      </c>
      <c r="B59" s="26">
        <v>2141302</v>
      </c>
      <c r="C59" s="26">
        <v>1790.242</v>
      </c>
      <c r="D59" s="26" t="s">
        <v>464</v>
      </c>
      <c r="E59" s="26">
        <v>116929.2</v>
      </c>
      <c r="F59" s="26">
        <v>22255.09</v>
      </c>
      <c r="H59" s="3">
        <f t="shared" si="0"/>
        <v>40086</v>
      </c>
      <c r="I59" s="26">
        <f t="shared" si="1"/>
        <v>2141302</v>
      </c>
      <c r="J59" s="26">
        <f t="shared" si="2"/>
        <v>1934714.5293999999</v>
      </c>
      <c r="K59" s="26" t="str">
        <f t="shared" si="3"/>
        <v/>
      </c>
      <c r="L59" s="26">
        <f t="shared" si="4"/>
        <v>910878.46799999999</v>
      </c>
      <c r="M59" s="26">
        <f t="shared" si="5"/>
        <v>3422610.2911</v>
      </c>
      <c r="N59" s="65">
        <f t="shared" si="6"/>
        <v>8409505.2884999998</v>
      </c>
    </row>
    <row r="60" spans="1:14" x14ac:dyDescent="0.25">
      <c r="A60" s="3">
        <v>40116</v>
      </c>
      <c r="B60" s="26">
        <v>2161834</v>
      </c>
      <c r="C60" s="26">
        <v>1779</v>
      </c>
      <c r="D60" s="26" t="s">
        <v>464</v>
      </c>
      <c r="E60" s="26">
        <v>111400</v>
      </c>
      <c r="F60" s="26">
        <v>22499.15</v>
      </c>
      <c r="H60" s="3">
        <f t="shared" si="0"/>
        <v>40116</v>
      </c>
      <c r="I60" s="26">
        <f t="shared" si="1"/>
        <v>2161834</v>
      </c>
      <c r="J60" s="26">
        <f t="shared" si="2"/>
        <v>1922565.3</v>
      </c>
      <c r="K60" s="26" t="str">
        <f t="shared" si="3"/>
        <v/>
      </c>
      <c r="L60" s="26">
        <f t="shared" si="4"/>
        <v>867806</v>
      </c>
      <c r="M60" s="26">
        <f t="shared" si="5"/>
        <v>3460144.2785</v>
      </c>
      <c r="N60" s="65">
        <f t="shared" si="6"/>
        <v>8412349.5784999989</v>
      </c>
    </row>
    <row r="61" spans="1:14" x14ac:dyDescent="0.25">
      <c r="A61" s="3">
        <v>40147</v>
      </c>
      <c r="B61" s="26">
        <v>2206591</v>
      </c>
      <c r="C61" s="26">
        <v>1759.1859999999999</v>
      </c>
      <c r="D61" s="26" t="s">
        <v>464</v>
      </c>
      <c r="E61" s="26">
        <v>117296.5</v>
      </c>
      <c r="F61" s="26">
        <v>22760.71</v>
      </c>
      <c r="H61" s="3">
        <f t="shared" si="0"/>
        <v>40147</v>
      </c>
      <c r="I61" s="26">
        <f t="shared" si="1"/>
        <v>2206591</v>
      </c>
      <c r="J61" s="26">
        <f t="shared" si="2"/>
        <v>1901152.3101999999</v>
      </c>
      <c r="K61" s="26" t="str">
        <f t="shared" si="3"/>
        <v/>
      </c>
      <c r="L61" s="26">
        <f t="shared" si="4"/>
        <v>913739.73499999999</v>
      </c>
      <c r="M61" s="26">
        <f t="shared" si="5"/>
        <v>3500369.5909000002</v>
      </c>
      <c r="N61" s="65">
        <f t="shared" si="6"/>
        <v>8521852.6361000016</v>
      </c>
    </row>
    <row r="62" spans="1:14" x14ac:dyDescent="0.25">
      <c r="A62" s="3">
        <v>40178</v>
      </c>
      <c r="B62" s="26">
        <v>2234309</v>
      </c>
      <c r="C62" s="26">
        <v>1852.463</v>
      </c>
      <c r="D62" s="26" t="s">
        <v>464</v>
      </c>
      <c r="E62" s="26">
        <v>122533.7</v>
      </c>
      <c r="F62" s="26">
        <v>22753.5</v>
      </c>
      <c r="H62" s="3">
        <f t="shared" si="0"/>
        <v>40178</v>
      </c>
      <c r="I62" s="26">
        <f t="shared" si="1"/>
        <v>2234309</v>
      </c>
      <c r="J62" s="26">
        <f t="shared" si="2"/>
        <v>2001956.7641</v>
      </c>
      <c r="K62" s="26" t="str">
        <f t="shared" si="3"/>
        <v/>
      </c>
      <c r="L62" s="26">
        <f t="shared" si="4"/>
        <v>954537.52300000004</v>
      </c>
      <c r="M62" s="26">
        <f t="shared" si="5"/>
        <v>3499260.7650000001</v>
      </c>
      <c r="N62" s="65">
        <f t="shared" si="6"/>
        <v>8690064.0521000009</v>
      </c>
    </row>
    <row r="63" spans="1:14" x14ac:dyDescent="0.25">
      <c r="A63" s="3">
        <v>40207</v>
      </c>
      <c r="B63" s="26">
        <v>2247065</v>
      </c>
      <c r="C63" s="26">
        <v>1877.655</v>
      </c>
      <c r="D63" s="26">
        <v>2817471</v>
      </c>
      <c r="E63" s="26">
        <v>122434.2</v>
      </c>
      <c r="F63" s="26">
        <v>23021.47</v>
      </c>
      <c r="H63" s="3">
        <f t="shared" si="0"/>
        <v>40207</v>
      </c>
      <c r="I63" s="26">
        <f t="shared" si="1"/>
        <v>2247065</v>
      </c>
      <c r="J63" s="26">
        <f t="shared" si="2"/>
        <v>2029181.7585</v>
      </c>
      <c r="K63" s="26">
        <f t="shared" si="3"/>
        <v>3632847.1074000001</v>
      </c>
      <c r="L63" s="26">
        <f t="shared" si="4"/>
        <v>953762.41800000006</v>
      </c>
      <c r="M63" s="26">
        <f t="shared" si="5"/>
        <v>3540471.8713000002</v>
      </c>
      <c r="N63" s="65">
        <f t="shared" si="6"/>
        <v>12403328.155200001</v>
      </c>
    </row>
    <row r="64" spans="1:14" x14ac:dyDescent="0.25">
      <c r="A64" s="3">
        <v>40235</v>
      </c>
      <c r="B64" s="26">
        <v>2286282</v>
      </c>
      <c r="C64" s="26">
        <v>1889.0170000000001</v>
      </c>
      <c r="D64" s="26">
        <v>2813722</v>
      </c>
      <c r="E64" s="26">
        <v>126767.5</v>
      </c>
      <c r="F64" s="26">
        <v>23176.39</v>
      </c>
      <c r="H64" s="3">
        <f t="shared" si="0"/>
        <v>40235</v>
      </c>
      <c r="I64" s="26">
        <f t="shared" si="1"/>
        <v>2286282</v>
      </c>
      <c r="J64" s="26">
        <f t="shared" si="2"/>
        <v>2041460.6719</v>
      </c>
      <c r="K64" s="26">
        <f t="shared" si="3"/>
        <v>3628013.1468000002</v>
      </c>
      <c r="L64" s="26">
        <f t="shared" si="4"/>
        <v>987518.82499999995</v>
      </c>
      <c r="M64" s="26">
        <f t="shared" si="5"/>
        <v>3564297.0181000005</v>
      </c>
      <c r="N64" s="65">
        <f t="shared" si="6"/>
        <v>12507571.661800001</v>
      </c>
    </row>
    <row r="65" spans="1:14" x14ac:dyDescent="0.25">
      <c r="A65" s="3">
        <v>40268</v>
      </c>
      <c r="B65" s="26">
        <v>2307201</v>
      </c>
      <c r="C65" s="26">
        <v>1894.8979999999999</v>
      </c>
      <c r="D65" s="26">
        <v>2776381</v>
      </c>
      <c r="E65" s="26">
        <v>122204.2</v>
      </c>
      <c r="F65" s="26">
        <v>23609.07</v>
      </c>
      <c r="H65" s="3">
        <f t="shared" si="0"/>
        <v>40268</v>
      </c>
      <c r="I65" s="26">
        <f t="shared" si="1"/>
        <v>2307201</v>
      </c>
      <c r="J65" s="26">
        <f t="shared" si="2"/>
        <v>2047816.2686000001</v>
      </c>
      <c r="K65" s="26">
        <f t="shared" si="3"/>
        <v>3579865.6614000001</v>
      </c>
      <c r="L65" s="26">
        <f t="shared" si="4"/>
        <v>951970.71799999999</v>
      </c>
      <c r="M65" s="26">
        <f t="shared" si="5"/>
        <v>3630838.8753000004</v>
      </c>
      <c r="N65" s="65">
        <f t="shared" si="6"/>
        <v>12517692.5233</v>
      </c>
    </row>
    <row r="66" spans="1:14" x14ac:dyDescent="0.25">
      <c r="A66" s="3">
        <v>40298</v>
      </c>
      <c r="B66" s="26">
        <v>2330517</v>
      </c>
      <c r="C66" s="26">
        <v>1956.819</v>
      </c>
      <c r="D66" s="26">
        <v>2726339</v>
      </c>
      <c r="E66" s="26">
        <v>114201.3</v>
      </c>
      <c r="F66" s="26">
        <v>23992.05</v>
      </c>
      <c r="H66" s="3">
        <f t="shared" si="0"/>
        <v>40298</v>
      </c>
      <c r="I66" s="26">
        <f t="shared" si="1"/>
        <v>2330517</v>
      </c>
      <c r="J66" s="26">
        <f t="shared" si="2"/>
        <v>2114734.2933</v>
      </c>
      <c r="K66" s="26">
        <f t="shared" si="3"/>
        <v>3515341.5066000004</v>
      </c>
      <c r="L66" s="26">
        <f t="shared" si="4"/>
        <v>889628.12699999998</v>
      </c>
      <c r="M66" s="26">
        <f t="shared" si="5"/>
        <v>3689737.3695</v>
      </c>
      <c r="N66" s="65">
        <f t="shared" si="6"/>
        <v>12539958.296400001</v>
      </c>
    </row>
    <row r="67" spans="1:14" x14ac:dyDescent="0.25">
      <c r="A67" s="3">
        <v>40329</v>
      </c>
      <c r="B67" s="26">
        <v>2334081</v>
      </c>
      <c r="C67" s="26">
        <v>2088.4499999999998</v>
      </c>
      <c r="D67" s="26">
        <v>2707098</v>
      </c>
      <c r="E67" s="26">
        <v>120985.7</v>
      </c>
      <c r="F67" s="26">
        <v>24129.599999999999</v>
      </c>
      <c r="H67" s="3">
        <f t="shared" si="0"/>
        <v>40329</v>
      </c>
      <c r="I67" s="26">
        <f t="shared" si="1"/>
        <v>2334081</v>
      </c>
      <c r="J67" s="26">
        <f t="shared" si="2"/>
        <v>2256987.9149999996</v>
      </c>
      <c r="K67" s="26">
        <f t="shared" si="3"/>
        <v>3490532.1612000004</v>
      </c>
      <c r="L67" s="26">
        <f t="shared" si="4"/>
        <v>942478.603</v>
      </c>
      <c r="M67" s="26">
        <f t="shared" si="5"/>
        <v>3710891.1840000004</v>
      </c>
      <c r="N67" s="65">
        <f t="shared" si="6"/>
        <v>12734970.8632</v>
      </c>
    </row>
    <row r="68" spans="1:14" x14ac:dyDescent="0.25">
      <c r="A68" s="3">
        <v>40359</v>
      </c>
      <c r="B68" s="26">
        <v>2330901</v>
      </c>
      <c r="C68" s="26">
        <v>2154.2449999999999</v>
      </c>
      <c r="D68" s="26">
        <v>2699890</v>
      </c>
      <c r="E68" s="26">
        <v>113233.7</v>
      </c>
      <c r="F68" s="26">
        <v>24293.200000000001</v>
      </c>
      <c r="H68" s="3">
        <f t="shared" si="0"/>
        <v>40359</v>
      </c>
      <c r="I68" s="26">
        <f t="shared" si="1"/>
        <v>2330901</v>
      </c>
      <c r="J68" s="26">
        <f t="shared" si="2"/>
        <v>2328092.5715000001</v>
      </c>
      <c r="K68" s="26">
        <f t="shared" si="3"/>
        <v>3481238.1660000002</v>
      </c>
      <c r="L68" s="26">
        <f t="shared" si="4"/>
        <v>882090.52300000004</v>
      </c>
      <c r="M68" s="26">
        <f t="shared" si="5"/>
        <v>3736051.2280000001</v>
      </c>
      <c r="N68" s="65">
        <f t="shared" si="6"/>
        <v>12758373.488499999</v>
      </c>
    </row>
    <row r="69" spans="1:14" x14ac:dyDescent="0.25">
      <c r="A69" s="3">
        <v>40389</v>
      </c>
      <c r="B69" s="26">
        <v>2325362</v>
      </c>
      <c r="C69" s="26">
        <v>2001.66</v>
      </c>
      <c r="D69" s="26">
        <v>2707924</v>
      </c>
      <c r="E69" s="26">
        <v>117374.3</v>
      </c>
      <c r="F69" s="26">
        <v>24476.99</v>
      </c>
      <c r="H69" s="3">
        <f t="shared" si="0"/>
        <v>40389</v>
      </c>
      <c r="I69" s="26">
        <f t="shared" si="1"/>
        <v>2325362</v>
      </c>
      <c r="J69" s="26">
        <f t="shared" si="2"/>
        <v>2163193.9619999998</v>
      </c>
      <c r="K69" s="26">
        <f t="shared" si="3"/>
        <v>3491597.2056000005</v>
      </c>
      <c r="L69" s="26">
        <f t="shared" si="4"/>
        <v>914345.79700000002</v>
      </c>
      <c r="M69" s="26">
        <f t="shared" si="5"/>
        <v>3764316.2921000002</v>
      </c>
      <c r="N69" s="65">
        <f t="shared" si="6"/>
        <v>12658815.256700002</v>
      </c>
    </row>
    <row r="70" spans="1:14" x14ac:dyDescent="0.25">
      <c r="A70" s="3">
        <v>40421</v>
      </c>
      <c r="B70" s="26">
        <v>2301100</v>
      </c>
      <c r="C70" s="26">
        <v>1957.9259999999999</v>
      </c>
      <c r="D70" s="26">
        <v>2644171</v>
      </c>
      <c r="E70" s="26">
        <v>123041.5</v>
      </c>
      <c r="F70" s="26">
        <v>24612.34</v>
      </c>
      <c r="H70" s="3">
        <f t="shared" si="0"/>
        <v>40421</v>
      </c>
      <c r="I70" s="26">
        <f t="shared" si="1"/>
        <v>2301100</v>
      </c>
      <c r="J70" s="26">
        <f t="shared" si="2"/>
        <v>2115930.6282000002</v>
      </c>
      <c r="K70" s="26">
        <f t="shared" si="3"/>
        <v>3409394.0874000001</v>
      </c>
      <c r="L70" s="26">
        <f t="shared" si="4"/>
        <v>958493.28500000003</v>
      </c>
      <c r="M70" s="26">
        <f t="shared" si="5"/>
        <v>3785131.7686000001</v>
      </c>
      <c r="N70" s="65">
        <f t="shared" si="6"/>
        <v>12570049.769200001</v>
      </c>
    </row>
    <row r="71" spans="1:14" x14ac:dyDescent="0.25">
      <c r="A71" s="3">
        <v>40451</v>
      </c>
      <c r="B71" s="26">
        <v>2298781</v>
      </c>
      <c r="C71" s="26">
        <v>1971.356</v>
      </c>
      <c r="D71" s="26">
        <v>2655814</v>
      </c>
      <c r="E71" s="26">
        <v>121053.4</v>
      </c>
      <c r="F71" s="26">
        <v>24868.39</v>
      </c>
      <c r="H71" s="3">
        <f t="shared" si="0"/>
        <v>40451</v>
      </c>
      <c r="I71" s="26">
        <f t="shared" si="1"/>
        <v>2298781</v>
      </c>
      <c r="J71" s="26">
        <f t="shared" si="2"/>
        <v>2130444.4292000001</v>
      </c>
      <c r="K71" s="26">
        <f t="shared" si="3"/>
        <v>3424406.5716000004</v>
      </c>
      <c r="L71" s="26">
        <f t="shared" si="4"/>
        <v>943005.98600000003</v>
      </c>
      <c r="M71" s="26">
        <f t="shared" si="5"/>
        <v>3824509.6981000002</v>
      </c>
      <c r="N71" s="65">
        <f t="shared" si="6"/>
        <v>12621147.684900001</v>
      </c>
    </row>
    <row r="72" spans="1:14" x14ac:dyDescent="0.25">
      <c r="A72" s="3">
        <v>40480</v>
      </c>
      <c r="B72" s="26">
        <v>2295477</v>
      </c>
      <c r="C72" s="26">
        <v>1895.6790000000001</v>
      </c>
      <c r="D72" s="26">
        <v>2660115</v>
      </c>
      <c r="E72" s="26">
        <v>121417.1</v>
      </c>
      <c r="F72" s="26">
        <v>25368.86</v>
      </c>
      <c r="H72" s="3">
        <f t="shared" ref="H72:H135" si="7">+A72</f>
        <v>40480</v>
      </c>
      <c r="I72" s="26">
        <f t="shared" ref="I72:I135" si="8">+B72</f>
        <v>2295477</v>
      </c>
      <c r="J72" s="26">
        <f t="shared" ref="J72:J135" si="9">+C72*1000*C$3</f>
        <v>2048660.2952999999</v>
      </c>
      <c r="K72" s="26">
        <f t="shared" ref="K72:K135" si="10">+IFERROR(D72*D$3,"")</f>
        <v>3429952.2810000004</v>
      </c>
      <c r="L72" s="26">
        <f t="shared" ref="L72:L135" si="11">+E72*1000*E$3</f>
        <v>945839.20900000003</v>
      </c>
      <c r="M72" s="26">
        <f t="shared" ref="M72:M135" si="12">+F72*1000*F$3</f>
        <v>3901476.9794000001</v>
      </c>
      <c r="N72" s="65">
        <f t="shared" ref="N72:N135" si="13">+SUM(I72:M72)</f>
        <v>12621405.764699999</v>
      </c>
    </row>
    <row r="73" spans="1:14" x14ac:dyDescent="0.25">
      <c r="A73" s="3">
        <v>40512</v>
      </c>
      <c r="B73" s="26">
        <v>2346097</v>
      </c>
      <c r="C73" s="26">
        <v>1915.961</v>
      </c>
      <c r="D73" s="26">
        <v>2659533</v>
      </c>
      <c r="E73" s="26">
        <v>127045.7</v>
      </c>
      <c r="F73" s="26">
        <v>25645.37</v>
      </c>
      <c r="H73" s="3">
        <f t="shared" si="7"/>
        <v>40512</v>
      </c>
      <c r="I73" s="26">
        <f t="shared" si="8"/>
        <v>2346097</v>
      </c>
      <c r="J73" s="26">
        <f t="shared" si="9"/>
        <v>2070579.0526999999</v>
      </c>
      <c r="K73" s="26">
        <f t="shared" si="10"/>
        <v>3429201.8502000002</v>
      </c>
      <c r="L73" s="26">
        <f t="shared" si="11"/>
        <v>989686.00300000003</v>
      </c>
      <c r="M73" s="26">
        <f t="shared" si="12"/>
        <v>3944001.4523000005</v>
      </c>
      <c r="N73" s="65">
        <f t="shared" si="13"/>
        <v>12779565.358200001</v>
      </c>
    </row>
    <row r="74" spans="1:14" x14ac:dyDescent="0.25">
      <c r="A74" s="3">
        <v>40543</v>
      </c>
      <c r="B74" s="26">
        <v>2420674</v>
      </c>
      <c r="C74" s="26">
        <v>2004.432</v>
      </c>
      <c r="D74" s="26">
        <v>2602367</v>
      </c>
      <c r="E74" s="26">
        <v>128710.5</v>
      </c>
      <c r="F74" s="26">
        <v>25927.49</v>
      </c>
      <c r="H74" s="3">
        <f t="shared" si="7"/>
        <v>40543</v>
      </c>
      <c r="I74" s="26">
        <f t="shared" si="8"/>
        <v>2420674</v>
      </c>
      <c r="J74" s="26">
        <f t="shared" si="9"/>
        <v>2166189.6623999998</v>
      </c>
      <c r="K74" s="26">
        <f t="shared" si="10"/>
        <v>3355492.0098000001</v>
      </c>
      <c r="L74" s="26">
        <f t="shared" si="11"/>
        <v>1002654.795</v>
      </c>
      <c r="M74" s="26">
        <f t="shared" si="12"/>
        <v>3987388.6871000002</v>
      </c>
      <c r="N74" s="65">
        <f t="shared" si="13"/>
        <v>12932399.154300001</v>
      </c>
    </row>
    <row r="75" spans="1:14" x14ac:dyDescent="0.25">
      <c r="A75" s="3">
        <v>40574</v>
      </c>
      <c r="B75" s="26">
        <v>2443637</v>
      </c>
      <c r="C75" s="26">
        <v>1965.568</v>
      </c>
      <c r="D75" s="26">
        <v>2624350</v>
      </c>
      <c r="E75" s="26">
        <v>127999.6</v>
      </c>
      <c r="F75" s="26">
        <v>26898.880000000001</v>
      </c>
      <c r="H75" s="3">
        <f t="shared" si="7"/>
        <v>40574</v>
      </c>
      <c r="I75" s="26">
        <f t="shared" si="8"/>
        <v>2443637</v>
      </c>
      <c r="J75" s="26">
        <f t="shared" si="9"/>
        <v>2124189.3376000002</v>
      </c>
      <c r="K75" s="26">
        <f t="shared" si="10"/>
        <v>3383836.89</v>
      </c>
      <c r="L75" s="26">
        <f t="shared" si="11"/>
        <v>997116.88399999996</v>
      </c>
      <c r="M75" s="26">
        <f t="shared" si="12"/>
        <v>4136778.7552000005</v>
      </c>
      <c r="N75" s="65">
        <f t="shared" si="13"/>
        <v>13085558.866800001</v>
      </c>
    </row>
    <row r="76" spans="1:14" x14ac:dyDescent="0.25">
      <c r="A76" s="3">
        <v>40602</v>
      </c>
      <c r="B76" s="26">
        <v>2533359</v>
      </c>
      <c r="C76" s="26">
        <v>1952.278</v>
      </c>
      <c r="D76" s="26">
        <v>2634879</v>
      </c>
      <c r="E76" s="26">
        <v>130118.2</v>
      </c>
      <c r="F76" s="26">
        <v>26605.01</v>
      </c>
      <c r="H76" s="3">
        <f t="shared" si="7"/>
        <v>40602</v>
      </c>
      <c r="I76" s="26">
        <f t="shared" si="8"/>
        <v>2533359</v>
      </c>
      <c r="J76" s="26">
        <f t="shared" si="9"/>
        <v>2109826.8346000002</v>
      </c>
      <c r="K76" s="26">
        <f t="shared" si="10"/>
        <v>3397412.9826000002</v>
      </c>
      <c r="L76" s="26">
        <f t="shared" si="11"/>
        <v>1013620.778</v>
      </c>
      <c r="M76" s="26">
        <f t="shared" si="12"/>
        <v>4091584.4879000001</v>
      </c>
      <c r="N76" s="65">
        <f t="shared" si="13"/>
        <v>13145804.0831</v>
      </c>
    </row>
    <row r="77" spans="1:14" x14ac:dyDescent="0.25">
      <c r="A77" s="3">
        <v>40633</v>
      </c>
      <c r="B77" s="26">
        <v>2622616</v>
      </c>
      <c r="C77" s="26">
        <v>1928.0550000000001</v>
      </c>
      <c r="D77" s="26">
        <v>2635278</v>
      </c>
      <c r="E77" s="26">
        <v>142925</v>
      </c>
      <c r="F77" s="26">
        <v>26881.81</v>
      </c>
      <c r="H77" s="3">
        <f t="shared" si="7"/>
        <v>40633</v>
      </c>
      <c r="I77" s="26">
        <f t="shared" si="8"/>
        <v>2622616</v>
      </c>
      <c r="J77" s="26">
        <f t="shared" si="9"/>
        <v>2083649.0385</v>
      </c>
      <c r="K77" s="26">
        <f t="shared" si="10"/>
        <v>3397927.4532000003</v>
      </c>
      <c r="L77" s="26">
        <f t="shared" si="11"/>
        <v>1113385.75</v>
      </c>
      <c r="M77" s="26">
        <f t="shared" si="12"/>
        <v>4134153.5599000002</v>
      </c>
      <c r="N77" s="65">
        <f t="shared" si="13"/>
        <v>13351731.801600002</v>
      </c>
    </row>
    <row r="78" spans="1:14" x14ac:dyDescent="0.25">
      <c r="A78" s="3">
        <v>40662</v>
      </c>
      <c r="B78" s="26">
        <v>2691133</v>
      </c>
      <c r="C78" s="26">
        <v>1894.1010000000001</v>
      </c>
      <c r="D78" s="26">
        <v>2651222</v>
      </c>
      <c r="E78" s="26">
        <v>134621.29999999999</v>
      </c>
      <c r="F78" s="26">
        <v>27176.5</v>
      </c>
      <c r="H78" s="3">
        <f t="shared" si="7"/>
        <v>40662</v>
      </c>
      <c r="I78" s="26">
        <f t="shared" si="8"/>
        <v>2691133</v>
      </c>
      <c r="J78" s="26">
        <f t="shared" si="9"/>
        <v>2046954.9506999999</v>
      </c>
      <c r="K78" s="26">
        <f t="shared" si="10"/>
        <v>3418485.6468000002</v>
      </c>
      <c r="L78" s="26">
        <f t="shared" si="11"/>
        <v>1048699.9269999999</v>
      </c>
      <c r="M78" s="26">
        <f t="shared" si="12"/>
        <v>4179473.9350000001</v>
      </c>
      <c r="N78" s="65">
        <f t="shared" si="13"/>
        <v>13384747.4595</v>
      </c>
    </row>
    <row r="79" spans="1:14" x14ac:dyDescent="0.25">
      <c r="A79" s="3">
        <v>40694</v>
      </c>
      <c r="B79" s="26">
        <v>2775137</v>
      </c>
      <c r="C79" s="26">
        <v>1900.61</v>
      </c>
      <c r="D79" s="26">
        <v>2650443</v>
      </c>
      <c r="E79" s="26">
        <v>135120.1</v>
      </c>
      <c r="F79" s="26">
        <v>27461.21</v>
      </c>
      <c r="H79" s="3">
        <f t="shared" si="7"/>
        <v>40694</v>
      </c>
      <c r="I79" s="26">
        <f t="shared" si="8"/>
        <v>2775137</v>
      </c>
      <c r="J79" s="26">
        <f t="shared" si="9"/>
        <v>2053989.227</v>
      </c>
      <c r="K79" s="26">
        <f t="shared" si="10"/>
        <v>3417481.2042000005</v>
      </c>
      <c r="L79" s="26">
        <f t="shared" si="11"/>
        <v>1052585.5789999999</v>
      </c>
      <c r="M79" s="26">
        <f t="shared" si="12"/>
        <v>4223259.4859000007</v>
      </c>
      <c r="N79" s="65">
        <f t="shared" si="13"/>
        <v>13522452.496100001</v>
      </c>
    </row>
    <row r="80" spans="1:14" x14ac:dyDescent="0.25">
      <c r="A80" s="3">
        <v>40724</v>
      </c>
      <c r="B80" s="26">
        <v>2865408</v>
      </c>
      <c r="C80" s="26">
        <v>1972.174</v>
      </c>
      <c r="D80" s="26">
        <v>2669970</v>
      </c>
      <c r="E80" s="26">
        <v>129584.5</v>
      </c>
      <c r="F80" s="26">
        <v>27807.86</v>
      </c>
      <c r="H80" s="3">
        <f t="shared" si="7"/>
        <v>40724</v>
      </c>
      <c r="I80" s="26">
        <f t="shared" si="8"/>
        <v>2865408</v>
      </c>
      <c r="J80" s="26">
        <f t="shared" si="9"/>
        <v>2131328.4418000001</v>
      </c>
      <c r="K80" s="26">
        <f t="shared" si="10"/>
        <v>3442659.3180000004</v>
      </c>
      <c r="L80" s="26">
        <f t="shared" si="11"/>
        <v>1009463.255</v>
      </c>
      <c r="M80" s="26">
        <f t="shared" si="12"/>
        <v>4276570.7894000001</v>
      </c>
      <c r="N80" s="65">
        <f t="shared" si="13"/>
        <v>13725429.804200001</v>
      </c>
    </row>
    <row r="81" spans="1:14" x14ac:dyDescent="0.25">
      <c r="A81" s="3">
        <v>40753</v>
      </c>
      <c r="B81" s="26">
        <v>2863806</v>
      </c>
      <c r="C81" s="26">
        <v>2000.471</v>
      </c>
      <c r="D81" s="26">
        <v>2677357</v>
      </c>
      <c r="E81" s="26">
        <v>134473.70000000001</v>
      </c>
      <c r="F81" s="26">
        <v>28071.34</v>
      </c>
      <c r="H81" s="3">
        <f t="shared" si="7"/>
        <v>40753</v>
      </c>
      <c r="I81" s="26">
        <f t="shared" si="8"/>
        <v>2863806</v>
      </c>
      <c r="J81" s="26">
        <f t="shared" si="9"/>
        <v>2161909.0096999998</v>
      </c>
      <c r="K81" s="26">
        <f t="shared" si="10"/>
        <v>3452184.1158000003</v>
      </c>
      <c r="L81" s="26">
        <f t="shared" si="11"/>
        <v>1047550.123</v>
      </c>
      <c r="M81" s="26">
        <f t="shared" si="12"/>
        <v>4317091.3786000004</v>
      </c>
      <c r="N81" s="65">
        <f t="shared" si="13"/>
        <v>13842540.627100002</v>
      </c>
    </row>
    <row r="82" spans="1:14" x14ac:dyDescent="0.25">
      <c r="A82" s="3">
        <v>40786</v>
      </c>
      <c r="B82" s="26">
        <v>2854000</v>
      </c>
      <c r="C82" s="26">
        <v>2071.6329999999998</v>
      </c>
      <c r="D82" s="26">
        <v>2682346</v>
      </c>
      <c r="E82" s="26">
        <v>141483</v>
      </c>
      <c r="F82" s="26">
        <v>28264.3</v>
      </c>
      <c r="H82" s="3">
        <f t="shared" si="7"/>
        <v>40786</v>
      </c>
      <c r="I82" s="26">
        <f t="shared" si="8"/>
        <v>2854000</v>
      </c>
      <c r="J82" s="26">
        <f t="shared" si="9"/>
        <v>2238813.7830999997</v>
      </c>
      <c r="K82" s="26">
        <f t="shared" si="10"/>
        <v>3458616.9324000003</v>
      </c>
      <c r="L82" s="26">
        <f t="shared" si="11"/>
        <v>1102152.57</v>
      </c>
      <c r="M82" s="26">
        <f t="shared" si="12"/>
        <v>4346766.6970000006</v>
      </c>
      <c r="N82" s="65">
        <f t="shared" si="13"/>
        <v>14000349.982500002</v>
      </c>
    </row>
    <row r="83" spans="1:14" x14ac:dyDescent="0.25">
      <c r="A83" s="3">
        <v>40816</v>
      </c>
      <c r="B83" s="26">
        <v>2851028</v>
      </c>
      <c r="C83" s="26">
        <v>2288.5709999999999</v>
      </c>
      <c r="D83" s="26">
        <v>2680930</v>
      </c>
      <c r="E83" s="26">
        <v>138387.29999999999</v>
      </c>
      <c r="F83" s="26">
        <v>28491.22</v>
      </c>
      <c r="H83" s="3">
        <f t="shared" si="7"/>
        <v>40816</v>
      </c>
      <c r="I83" s="26">
        <f t="shared" si="8"/>
        <v>2851028</v>
      </c>
      <c r="J83" s="26">
        <f t="shared" si="9"/>
        <v>2473258.6797000002</v>
      </c>
      <c r="K83" s="26">
        <f t="shared" si="10"/>
        <v>3456791.1420000005</v>
      </c>
      <c r="L83" s="26">
        <f t="shared" si="11"/>
        <v>1078037.067</v>
      </c>
      <c r="M83" s="26">
        <f t="shared" si="12"/>
        <v>4381664.7238000007</v>
      </c>
      <c r="N83" s="65">
        <f t="shared" si="13"/>
        <v>14240779.612500001</v>
      </c>
    </row>
    <row r="84" spans="1:14" x14ac:dyDescent="0.25">
      <c r="A84" s="3">
        <v>40847</v>
      </c>
      <c r="B84" s="26">
        <v>2845777</v>
      </c>
      <c r="C84" s="26">
        <v>2333.373</v>
      </c>
      <c r="D84" s="26">
        <v>2683925</v>
      </c>
      <c r="E84" s="26">
        <v>132985.79999999999</v>
      </c>
      <c r="F84" s="26">
        <v>28573.03</v>
      </c>
      <c r="H84" s="3">
        <f t="shared" si="7"/>
        <v>40847</v>
      </c>
      <c r="I84" s="26">
        <f t="shared" si="8"/>
        <v>2845777</v>
      </c>
      <c r="J84" s="26">
        <f t="shared" si="9"/>
        <v>2521676.2011000002</v>
      </c>
      <c r="K84" s="26">
        <f t="shared" si="10"/>
        <v>3460652.8950000005</v>
      </c>
      <c r="L84" s="26">
        <f t="shared" si="11"/>
        <v>1035959.3819999999</v>
      </c>
      <c r="M84" s="26">
        <f t="shared" si="12"/>
        <v>4394246.2837000005</v>
      </c>
      <c r="N84" s="65">
        <f t="shared" si="13"/>
        <v>14258311.7618</v>
      </c>
    </row>
    <row r="85" spans="1:14" x14ac:dyDescent="0.25">
      <c r="A85" s="3">
        <v>40877</v>
      </c>
      <c r="B85" s="26">
        <v>2814313</v>
      </c>
      <c r="C85" s="26">
        <v>2419.5479999999998</v>
      </c>
      <c r="D85" s="26">
        <v>2676764</v>
      </c>
      <c r="E85" s="26">
        <v>143205.70000000001</v>
      </c>
      <c r="F85" s="26">
        <v>28287.72</v>
      </c>
      <c r="H85" s="3">
        <f t="shared" si="7"/>
        <v>40877</v>
      </c>
      <c r="I85" s="26">
        <f t="shared" si="8"/>
        <v>2814313</v>
      </c>
      <c r="J85" s="26">
        <f t="shared" si="9"/>
        <v>2614805.5236</v>
      </c>
      <c r="K85" s="26">
        <f t="shared" si="10"/>
        <v>3451419.5016000001</v>
      </c>
      <c r="L85" s="26">
        <f t="shared" si="11"/>
        <v>1115572.4029999999</v>
      </c>
      <c r="M85" s="26">
        <f t="shared" si="12"/>
        <v>4350368.4588000001</v>
      </c>
      <c r="N85" s="65">
        <f t="shared" si="13"/>
        <v>14346478.886999998</v>
      </c>
    </row>
    <row r="86" spans="1:14" x14ac:dyDescent="0.25">
      <c r="A86" s="3">
        <v>40907</v>
      </c>
      <c r="B86" s="26">
        <v>2926195</v>
      </c>
      <c r="C86" s="26">
        <v>2735.6280000000002</v>
      </c>
      <c r="D86" s="26">
        <v>2637824</v>
      </c>
      <c r="E86" s="26">
        <v>143021.9</v>
      </c>
      <c r="F86" s="26">
        <v>28097.759999999998</v>
      </c>
      <c r="H86" s="3">
        <f t="shared" si="7"/>
        <v>40907</v>
      </c>
      <c r="I86" s="26">
        <f t="shared" si="8"/>
        <v>2926195</v>
      </c>
      <c r="J86" s="26">
        <f t="shared" si="9"/>
        <v>2956393.1795999999</v>
      </c>
      <c r="K86" s="26">
        <f t="shared" si="10"/>
        <v>3401210.2656</v>
      </c>
      <c r="L86" s="26">
        <f t="shared" si="11"/>
        <v>1114140.601</v>
      </c>
      <c r="M86" s="26">
        <f t="shared" si="12"/>
        <v>4321154.5104</v>
      </c>
      <c r="N86" s="65">
        <f t="shared" si="13"/>
        <v>14719093.556600001</v>
      </c>
    </row>
    <row r="87" spans="1:14" x14ac:dyDescent="0.25">
      <c r="A87" s="3">
        <v>40939</v>
      </c>
      <c r="B87" s="26">
        <v>2919667</v>
      </c>
      <c r="C87" s="26">
        <v>2682.576</v>
      </c>
      <c r="D87" s="26">
        <v>2647294</v>
      </c>
      <c r="E87" s="26">
        <v>136906.5</v>
      </c>
      <c r="F87" s="26">
        <v>29502.41</v>
      </c>
      <c r="H87" s="3">
        <f t="shared" si="7"/>
        <v>40939</v>
      </c>
      <c r="I87" s="26">
        <f t="shared" si="8"/>
        <v>2919667</v>
      </c>
      <c r="J87" s="26">
        <f t="shared" si="9"/>
        <v>2899059.8832</v>
      </c>
      <c r="K87" s="26">
        <f t="shared" si="10"/>
        <v>3413420.8836000003</v>
      </c>
      <c r="L87" s="26">
        <f t="shared" si="11"/>
        <v>1066501.635</v>
      </c>
      <c r="M87" s="26">
        <f t="shared" si="12"/>
        <v>4537175.6339000007</v>
      </c>
      <c r="N87" s="65">
        <f t="shared" si="13"/>
        <v>14835825.035700001</v>
      </c>
    </row>
    <row r="88" spans="1:14" x14ac:dyDescent="0.25">
      <c r="A88" s="3">
        <v>40968</v>
      </c>
      <c r="B88" s="26">
        <v>2925788</v>
      </c>
      <c r="C88" s="26">
        <v>2692.598</v>
      </c>
      <c r="D88" s="26">
        <v>2657839</v>
      </c>
      <c r="E88" s="26">
        <v>144244.4</v>
      </c>
      <c r="F88" s="26">
        <v>28327.65</v>
      </c>
      <c r="H88" s="3">
        <f t="shared" si="7"/>
        <v>40968</v>
      </c>
      <c r="I88" s="26">
        <f t="shared" si="8"/>
        <v>2925788</v>
      </c>
      <c r="J88" s="26">
        <f t="shared" si="9"/>
        <v>2909890.6586000002</v>
      </c>
      <c r="K88" s="26">
        <f t="shared" si="10"/>
        <v>3427017.6066000001</v>
      </c>
      <c r="L88" s="26">
        <f t="shared" si="11"/>
        <v>1123663.8759999999</v>
      </c>
      <c r="M88" s="26">
        <f t="shared" si="12"/>
        <v>4356509.2935000006</v>
      </c>
      <c r="N88" s="65">
        <f t="shared" si="13"/>
        <v>14742869.434700001</v>
      </c>
    </row>
    <row r="89" spans="1:14" x14ac:dyDescent="0.25">
      <c r="A89" s="3">
        <v>40998</v>
      </c>
      <c r="B89" s="26">
        <v>2878200</v>
      </c>
      <c r="C89" s="26">
        <v>2964.4270000000001</v>
      </c>
      <c r="D89" s="26">
        <v>2662485</v>
      </c>
      <c r="E89" s="26">
        <v>139648.20000000001</v>
      </c>
      <c r="F89" s="26">
        <v>28402.240000000002</v>
      </c>
      <c r="H89" s="3">
        <f t="shared" si="7"/>
        <v>40998</v>
      </c>
      <c r="I89" s="26">
        <f t="shared" si="8"/>
        <v>2878200</v>
      </c>
      <c r="J89" s="26">
        <f t="shared" si="9"/>
        <v>3203656.2588999998</v>
      </c>
      <c r="K89" s="26">
        <f t="shared" si="10"/>
        <v>3433008.1590000005</v>
      </c>
      <c r="L89" s="26">
        <f t="shared" si="11"/>
        <v>1087859.4780000001</v>
      </c>
      <c r="M89" s="26">
        <f t="shared" si="12"/>
        <v>4367980.4896</v>
      </c>
      <c r="N89" s="65">
        <f t="shared" si="13"/>
        <v>14970704.385499999</v>
      </c>
    </row>
    <row r="90" spans="1:14" x14ac:dyDescent="0.25">
      <c r="A90" s="3">
        <v>41029</v>
      </c>
      <c r="B90" s="26">
        <v>2866675</v>
      </c>
      <c r="C90" s="26">
        <v>2962.1030000000001</v>
      </c>
      <c r="D90" s="26">
        <v>2691291</v>
      </c>
      <c r="E90" s="26">
        <v>141206.5</v>
      </c>
      <c r="F90" s="26">
        <v>28355.17</v>
      </c>
      <c r="H90" s="3">
        <f t="shared" si="7"/>
        <v>41029</v>
      </c>
      <c r="I90" s="26">
        <f t="shared" si="8"/>
        <v>2866675</v>
      </c>
      <c r="J90" s="26">
        <f t="shared" si="9"/>
        <v>3201144.7121000001</v>
      </c>
      <c r="K90" s="26">
        <f t="shared" si="10"/>
        <v>3470150.6154000005</v>
      </c>
      <c r="L90" s="26">
        <f t="shared" si="11"/>
        <v>1099998.635</v>
      </c>
      <c r="M90" s="26">
        <f t="shared" si="12"/>
        <v>4360741.5943</v>
      </c>
      <c r="N90" s="65">
        <f t="shared" si="13"/>
        <v>14998710.5568</v>
      </c>
    </row>
    <row r="91" spans="1:14" x14ac:dyDescent="0.25">
      <c r="A91" s="3">
        <v>41060</v>
      </c>
      <c r="B91" s="26">
        <v>2842777</v>
      </c>
      <c r="C91" s="26">
        <v>2980.31</v>
      </c>
      <c r="D91" s="26">
        <v>2704882</v>
      </c>
      <c r="E91" s="26">
        <v>142800.79999999999</v>
      </c>
      <c r="F91" s="26">
        <v>28375.47</v>
      </c>
      <c r="H91" s="3">
        <f t="shared" si="7"/>
        <v>41060</v>
      </c>
      <c r="I91" s="26">
        <f t="shared" si="8"/>
        <v>2842777</v>
      </c>
      <c r="J91" s="26">
        <f t="shared" si="9"/>
        <v>3220821.017</v>
      </c>
      <c r="K91" s="26">
        <f t="shared" si="10"/>
        <v>3487674.8508000001</v>
      </c>
      <c r="L91" s="26">
        <f t="shared" si="11"/>
        <v>1112418.2320000001</v>
      </c>
      <c r="M91" s="26">
        <f t="shared" si="12"/>
        <v>4363863.5312999999</v>
      </c>
      <c r="N91" s="65">
        <f t="shared" si="13"/>
        <v>15027554.631100003</v>
      </c>
    </row>
    <row r="92" spans="1:14" x14ac:dyDescent="0.25">
      <c r="A92" s="3">
        <v>41089</v>
      </c>
      <c r="B92" s="26">
        <v>2863605</v>
      </c>
      <c r="C92" s="26">
        <v>3102.2269999999999</v>
      </c>
      <c r="D92" s="26">
        <v>2696337</v>
      </c>
      <c r="E92" s="26">
        <v>143626.6</v>
      </c>
      <c r="F92" s="26">
        <v>28607.1</v>
      </c>
      <c r="H92" s="3">
        <f t="shared" si="7"/>
        <v>41089</v>
      </c>
      <c r="I92" s="26">
        <f t="shared" si="8"/>
        <v>2863605</v>
      </c>
      <c r="J92" s="26">
        <f t="shared" si="9"/>
        <v>3352576.7189000002</v>
      </c>
      <c r="K92" s="26">
        <f t="shared" si="10"/>
        <v>3476656.9278000002</v>
      </c>
      <c r="L92" s="26">
        <f t="shared" si="11"/>
        <v>1118851.2139999999</v>
      </c>
      <c r="M92" s="26">
        <f t="shared" si="12"/>
        <v>4399485.909</v>
      </c>
      <c r="N92" s="65">
        <f t="shared" si="13"/>
        <v>15211175.7697</v>
      </c>
    </row>
    <row r="93" spans="1:14" x14ac:dyDescent="0.25">
      <c r="A93" s="3">
        <v>41121</v>
      </c>
      <c r="B93" s="26">
        <v>2846805</v>
      </c>
      <c r="C93" s="26">
        <v>3094.1439999999998</v>
      </c>
      <c r="D93" s="26">
        <v>2708799</v>
      </c>
      <c r="E93" s="26">
        <v>145495.4</v>
      </c>
      <c r="F93" s="26">
        <v>28458.03</v>
      </c>
      <c r="H93" s="3">
        <f t="shared" si="7"/>
        <v>41121</v>
      </c>
      <c r="I93" s="26">
        <f t="shared" si="8"/>
        <v>2846805</v>
      </c>
      <c r="J93" s="26">
        <f t="shared" si="9"/>
        <v>3343841.4208</v>
      </c>
      <c r="K93" s="26">
        <f t="shared" si="10"/>
        <v>3492725.4306000001</v>
      </c>
      <c r="L93" s="26">
        <f t="shared" si="11"/>
        <v>1133409.166</v>
      </c>
      <c r="M93" s="26">
        <f t="shared" si="12"/>
        <v>4376560.4336999999</v>
      </c>
      <c r="N93" s="65">
        <f t="shared" si="13"/>
        <v>15193341.451099999</v>
      </c>
    </row>
    <row r="94" spans="1:14" x14ac:dyDescent="0.25">
      <c r="A94" s="3">
        <v>41152</v>
      </c>
      <c r="B94" s="26">
        <v>2813001</v>
      </c>
      <c r="C94" s="26">
        <v>3084.7689999999998</v>
      </c>
      <c r="D94" s="26">
        <v>2701095</v>
      </c>
      <c r="E94" s="26">
        <v>149967.20000000001</v>
      </c>
      <c r="F94" s="26">
        <v>28597.5</v>
      </c>
      <c r="H94" s="3">
        <f t="shared" si="7"/>
        <v>41152</v>
      </c>
      <c r="I94" s="26">
        <f t="shared" si="8"/>
        <v>2813001</v>
      </c>
      <c r="J94" s="26">
        <f t="shared" si="9"/>
        <v>3333709.8583</v>
      </c>
      <c r="K94" s="26">
        <f t="shared" si="10"/>
        <v>3482791.8930000002</v>
      </c>
      <c r="L94" s="26">
        <f t="shared" si="11"/>
        <v>1168244.4879999999</v>
      </c>
      <c r="M94" s="26">
        <f t="shared" si="12"/>
        <v>4398009.5250000004</v>
      </c>
      <c r="N94" s="65">
        <f t="shared" si="13"/>
        <v>15195756.7643</v>
      </c>
    </row>
    <row r="95" spans="1:14" x14ac:dyDescent="0.25">
      <c r="A95" s="3">
        <v>41180</v>
      </c>
      <c r="B95" s="26">
        <v>2804567</v>
      </c>
      <c r="C95" s="26">
        <v>3082.4319999999998</v>
      </c>
      <c r="D95" s="26">
        <v>2724958</v>
      </c>
      <c r="E95" s="26">
        <v>150392</v>
      </c>
      <c r="F95" s="26">
        <v>28965.77</v>
      </c>
      <c r="H95" s="3">
        <f t="shared" si="7"/>
        <v>41180</v>
      </c>
      <c r="I95" s="26">
        <f t="shared" si="8"/>
        <v>2804567</v>
      </c>
      <c r="J95" s="26">
        <f t="shared" si="9"/>
        <v>3331184.2623999999</v>
      </c>
      <c r="K95" s="26">
        <f t="shared" si="10"/>
        <v>3513560.8452000003</v>
      </c>
      <c r="L95" s="26">
        <f t="shared" si="11"/>
        <v>1171553.68</v>
      </c>
      <c r="M95" s="26">
        <f t="shared" si="12"/>
        <v>4454645.7683000006</v>
      </c>
      <c r="N95" s="65">
        <f t="shared" si="13"/>
        <v>15275511.5559</v>
      </c>
    </row>
    <row r="96" spans="1:14" x14ac:dyDescent="0.25">
      <c r="A96" s="3">
        <v>41213</v>
      </c>
      <c r="B96" s="26">
        <v>2823137</v>
      </c>
      <c r="C96" s="26">
        <v>3046.5430000000001</v>
      </c>
      <c r="D96" s="26">
        <v>2677812</v>
      </c>
      <c r="E96" s="26">
        <v>153731.6</v>
      </c>
      <c r="F96" s="26">
        <v>29230.44</v>
      </c>
      <c r="H96" s="3">
        <f t="shared" si="7"/>
        <v>41213</v>
      </c>
      <c r="I96" s="26">
        <f t="shared" si="8"/>
        <v>2823137</v>
      </c>
      <c r="J96" s="26">
        <f t="shared" si="9"/>
        <v>3292399.0200999998</v>
      </c>
      <c r="K96" s="26">
        <f t="shared" si="10"/>
        <v>3452770.7928000004</v>
      </c>
      <c r="L96" s="26">
        <f t="shared" si="11"/>
        <v>1197569.1640000001</v>
      </c>
      <c r="M96" s="26">
        <f t="shared" si="12"/>
        <v>4495349.3676000005</v>
      </c>
      <c r="N96" s="65">
        <f t="shared" si="13"/>
        <v>15261225.344500002</v>
      </c>
    </row>
    <row r="97" spans="1:14" x14ac:dyDescent="0.25">
      <c r="A97" s="3">
        <v>41243</v>
      </c>
      <c r="B97" s="26">
        <v>2851362</v>
      </c>
      <c r="C97" s="26">
        <v>3033.2939999999999</v>
      </c>
      <c r="D97" s="26">
        <v>2680173</v>
      </c>
      <c r="E97" s="26">
        <v>156357.9</v>
      </c>
      <c r="F97" s="26">
        <v>28987.74</v>
      </c>
      <c r="H97" s="3">
        <f t="shared" si="7"/>
        <v>41243</v>
      </c>
      <c r="I97" s="26">
        <f t="shared" si="8"/>
        <v>2851362</v>
      </c>
      <c r="J97" s="26">
        <f t="shared" si="9"/>
        <v>3278080.8257999998</v>
      </c>
      <c r="K97" s="26">
        <f t="shared" si="10"/>
        <v>3455815.0662000002</v>
      </c>
      <c r="L97" s="26">
        <f t="shared" si="11"/>
        <v>1218028.041</v>
      </c>
      <c r="M97" s="26">
        <f t="shared" si="12"/>
        <v>4458024.5345999999</v>
      </c>
      <c r="N97" s="65">
        <f t="shared" si="13"/>
        <v>15261310.467599999</v>
      </c>
    </row>
    <row r="98" spans="1:14" x14ac:dyDescent="0.25">
      <c r="A98" s="3">
        <v>41274</v>
      </c>
      <c r="B98" s="26">
        <v>2907300</v>
      </c>
      <c r="C98" s="26">
        <v>3018.1979999999999</v>
      </c>
      <c r="D98" s="26">
        <v>2684126</v>
      </c>
      <c r="E98" s="26">
        <v>158362.70000000001</v>
      </c>
      <c r="F98" s="26">
        <v>29453.72</v>
      </c>
      <c r="H98" s="3">
        <f t="shared" si="7"/>
        <v>41274</v>
      </c>
      <c r="I98" s="26">
        <f t="shared" si="8"/>
        <v>2907300</v>
      </c>
      <c r="J98" s="26">
        <f t="shared" si="9"/>
        <v>3261766.5786000001</v>
      </c>
      <c r="K98" s="26">
        <f t="shared" si="10"/>
        <v>3460912.0644000005</v>
      </c>
      <c r="L98" s="26">
        <f t="shared" si="11"/>
        <v>1233645.433</v>
      </c>
      <c r="M98" s="26">
        <f t="shared" si="12"/>
        <v>4529687.5988000007</v>
      </c>
      <c r="N98" s="65">
        <f t="shared" si="13"/>
        <v>15393311.674800001</v>
      </c>
    </row>
    <row r="99" spans="1:14" x14ac:dyDescent="0.25">
      <c r="A99" s="3">
        <v>41305</v>
      </c>
      <c r="B99" s="26">
        <v>3008704</v>
      </c>
      <c r="C99" s="26">
        <v>2928.7809999999999</v>
      </c>
      <c r="D99" s="26">
        <v>2725060</v>
      </c>
      <c r="E99" s="26">
        <v>159790.29999999999</v>
      </c>
      <c r="F99" s="26">
        <v>29793.16</v>
      </c>
      <c r="H99" s="3">
        <f t="shared" si="7"/>
        <v>41305</v>
      </c>
      <c r="I99" s="26">
        <f t="shared" si="8"/>
        <v>3008704</v>
      </c>
      <c r="J99" s="26">
        <f t="shared" si="9"/>
        <v>3165133.6266999999</v>
      </c>
      <c r="K99" s="26">
        <f t="shared" si="10"/>
        <v>3513692.3640000001</v>
      </c>
      <c r="L99" s="26">
        <f t="shared" si="11"/>
        <v>1244766.4369999999</v>
      </c>
      <c r="M99" s="26">
        <f t="shared" si="12"/>
        <v>4581890.0764000006</v>
      </c>
      <c r="N99" s="65">
        <f t="shared" si="13"/>
        <v>15514186.504099999</v>
      </c>
    </row>
    <row r="100" spans="1:14" x14ac:dyDescent="0.25">
      <c r="A100" s="3">
        <v>41333</v>
      </c>
      <c r="B100" s="26">
        <v>3090600</v>
      </c>
      <c r="C100" s="26">
        <v>2748.8229999999999</v>
      </c>
      <c r="D100" s="26">
        <v>2719955</v>
      </c>
      <c r="E100" s="26">
        <v>163532.5</v>
      </c>
      <c r="F100" s="26">
        <v>29817.54</v>
      </c>
      <c r="H100" s="3">
        <f t="shared" si="7"/>
        <v>41333</v>
      </c>
      <c r="I100" s="26">
        <f t="shared" si="8"/>
        <v>3090600</v>
      </c>
      <c r="J100" s="26">
        <f t="shared" si="9"/>
        <v>2970653.0161000001</v>
      </c>
      <c r="K100" s="26">
        <f t="shared" si="10"/>
        <v>3507109.9770000004</v>
      </c>
      <c r="L100" s="26">
        <f t="shared" si="11"/>
        <v>1273918.175</v>
      </c>
      <c r="M100" s="26">
        <f t="shared" si="12"/>
        <v>4585639.4766000006</v>
      </c>
      <c r="N100" s="65">
        <f t="shared" si="13"/>
        <v>15427920.644700002</v>
      </c>
    </row>
    <row r="101" spans="1:14" x14ac:dyDescent="0.25">
      <c r="A101" s="3">
        <v>41362</v>
      </c>
      <c r="B101" s="26">
        <v>3202256</v>
      </c>
      <c r="C101" s="26">
        <v>2648.1260000000002</v>
      </c>
      <c r="D101" s="26">
        <v>2704529</v>
      </c>
      <c r="E101" s="26">
        <v>164312.29999999999</v>
      </c>
      <c r="F101" s="26">
        <v>29894.04</v>
      </c>
      <c r="H101" s="3">
        <f t="shared" si="7"/>
        <v>41362</v>
      </c>
      <c r="I101" s="26">
        <f t="shared" si="8"/>
        <v>3202256</v>
      </c>
      <c r="J101" s="26">
        <f t="shared" si="9"/>
        <v>2861829.7681999998</v>
      </c>
      <c r="K101" s="26">
        <f t="shared" si="10"/>
        <v>3487219.6926000002</v>
      </c>
      <c r="L101" s="26">
        <f t="shared" si="11"/>
        <v>1279992.817</v>
      </c>
      <c r="M101" s="26">
        <f t="shared" si="12"/>
        <v>4597404.4116000002</v>
      </c>
      <c r="N101" s="65">
        <f t="shared" si="13"/>
        <v>15428702.689399999</v>
      </c>
    </row>
    <row r="102" spans="1:14" x14ac:dyDescent="0.25">
      <c r="A102" s="3">
        <v>41394</v>
      </c>
      <c r="B102" s="26">
        <v>3318649</v>
      </c>
      <c r="C102" s="26">
        <v>2611.252</v>
      </c>
      <c r="D102" s="26">
        <v>2731844</v>
      </c>
      <c r="E102" s="26">
        <v>174691.4</v>
      </c>
      <c r="F102" s="26">
        <v>30080.080000000002</v>
      </c>
      <c r="H102" s="3">
        <f t="shared" si="7"/>
        <v>41394</v>
      </c>
      <c r="I102" s="26">
        <f t="shared" si="8"/>
        <v>3318649</v>
      </c>
      <c r="J102" s="26">
        <f t="shared" si="9"/>
        <v>2821980.0364000001</v>
      </c>
      <c r="K102" s="26">
        <f t="shared" si="10"/>
        <v>3522439.6536000003</v>
      </c>
      <c r="L102" s="26">
        <f t="shared" si="11"/>
        <v>1360846.0060000001</v>
      </c>
      <c r="M102" s="26">
        <f t="shared" si="12"/>
        <v>4626015.5032000002</v>
      </c>
      <c r="N102" s="65">
        <f t="shared" si="13"/>
        <v>15649930.199199999</v>
      </c>
    </row>
    <row r="103" spans="1:14" x14ac:dyDescent="0.25">
      <c r="A103" s="3">
        <v>41425</v>
      </c>
      <c r="B103" s="26">
        <v>3385128</v>
      </c>
      <c r="C103" s="26">
        <v>2549.4490000000001</v>
      </c>
      <c r="D103" s="26">
        <v>2747676</v>
      </c>
      <c r="E103" s="26">
        <v>184286.2</v>
      </c>
      <c r="F103" s="26">
        <v>30214.53</v>
      </c>
      <c r="H103" s="3">
        <f t="shared" si="7"/>
        <v>41425</v>
      </c>
      <c r="I103" s="26">
        <f t="shared" si="8"/>
        <v>3385128</v>
      </c>
      <c r="J103" s="26">
        <f t="shared" si="9"/>
        <v>2755189.5342999999</v>
      </c>
      <c r="K103" s="26">
        <f t="shared" si="10"/>
        <v>3542853.4344000001</v>
      </c>
      <c r="L103" s="26">
        <f t="shared" si="11"/>
        <v>1435589.4979999999</v>
      </c>
      <c r="M103" s="26">
        <f t="shared" si="12"/>
        <v>4646692.5687000006</v>
      </c>
      <c r="N103" s="65">
        <f t="shared" si="13"/>
        <v>15765453.035399999</v>
      </c>
    </row>
    <row r="104" spans="1:14" x14ac:dyDescent="0.25">
      <c r="A104" s="3">
        <v>41453</v>
      </c>
      <c r="B104" s="26">
        <v>3478672</v>
      </c>
      <c r="C104" s="26">
        <v>2430.4229999999998</v>
      </c>
      <c r="D104" s="26">
        <v>2737699</v>
      </c>
      <c r="E104" s="26">
        <v>187068.4</v>
      </c>
      <c r="F104" s="26">
        <v>30674.11</v>
      </c>
      <c r="H104" s="3">
        <f t="shared" si="7"/>
        <v>41453</v>
      </c>
      <c r="I104" s="26">
        <f t="shared" si="8"/>
        <v>3478672</v>
      </c>
      <c r="J104" s="26">
        <f t="shared" si="9"/>
        <v>2626558.1360999998</v>
      </c>
      <c r="K104" s="26">
        <f t="shared" si="10"/>
        <v>3529989.0906000002</v>
      </c>
      <c r="L104" s="26">
        <f t="shared" si="11"/>
        <v>1457262.8359999999</v>
      </c>
      <c r="M104" s="26">
        <f t="shared" si="12"/>
        <v>4717371.3769000005</v>
      </c>
      <c r="N104" s="65">
        <f t="shared" si="13"/>
        <v>15809853.4396</v>
      </c>
    </row>
    <row r="105" spans="1:14" x14ac:dyDescent="0.25">
      <c r="A105" s="3">
        <v>41486</v>
      </c>
      <c r="B105" s="26">
        <v>3571797</v>
      </c>
      <c r="C105" s="26">
        <v>2396.181</v>
      </c>
      <c r="D105" s="26">
        <v>2762763</v>
      </c>
      <c r="E105" s="26">
        <v>196758.2</v>
      </c>
      <c r="F105" s="26">
        <v>30669.72</v>
      </c>
      <c r="H105" s="3">
        <f t="shared" si="7"/>
        <v>41486</v>
      </c>
      <c r="I105" s="26">
        <f t="shared" si="8"/>
        <v>3571797</v>
      </c>
      <c r="J105" s="26">
        <f t="shared" si="9"/>
        <v>2589552.8067000001</v>
      </c>
      <c r="K105" s="26">
        <f t="shared" si="10"/>
        <v>3562306.6122000003</v>
      </c>
      <c r="L105" s="26">
        <f t="shared" si="11"/>
        <v>1532746.378</v>
      </c>
      <c r="M105" s="26">
        <f t="shared" si="12"/>
        <v>4716696.2388000004</v>
      </c>
      <c r="N105" s="65">
        <f t="shared" si="13"/>
        <v>15973099.035700003</v>
      </c>
    </row>
    <row r="106" spans="1:14" x14ac:dyDescent="0.25">
      <c r="A106" s="3">
        <v>41516</v>
      </c>
      <c r="B106" s="26">
        <v>3644456</v>
      </c>
      <c r="C106" s="26">
        <v>2360.6390000000001</v>
      </c>
      <c r="D106" s="26">
        <v>2770333</v>
      </c>
      <c r="E106" s="26">
        <v>205691.9</v>
      </c>
      <c r="F106" s="26">
        <v>30892.59</v>
      </c>
      <c r="H106" s="3">
        <f t="shared" si="7"/>
        <v>41516</v>
      </c>
      <c r="I106" s="26">
        <f t="shared" si="8"/>
        <v>3644456</v>
      </c>
      <c r="J106" s="26">
        <f t="shared" si="9"/>
        <v>2551142.5672999998</v>
      </c>
      <c r="K106" s="26">
        <f t="shared" si="10"/>
        <v>3572067.3702000002</v>
      </c>
      <c r="L106" s="26">
        <f t="shared" si="11"/>
        <v>1602339.9010000001</v>
      </c>
      <c r="M106" s="26">
        <f t="shared" si="12"/>
        <v>4750971.4161</v>
      </c>
      <c r="N106" s="65">
        <f t="shared" si="13"/>
        <v>16120977.2546</v>
      </c>
    </row>
    <row r="107" spans="1:14" x14ac:dyDescent="0.25">
      <c r="A107" s="3">
        <v>41547</v>
      </c>
      <c r="B107" s="26">
        <v>3734018</v>
      </c>
      <c r="C107" s="26">
        <v>2338.0439999999999</v>
      </c>
      <c r="D107" s="26">
        <v>2814732</v>
      </c>
      <c r="E107" s="26">
        <v>208189.4</v>
      </c>
      <c r="F107" s="26">
        <v>31119.119999999999</v>
      </c>
      <c r="H107" s="3">
        <f t="shared" si="7"/>
        <v>41547</v>
      </c>
      <c r="I107" s="26">
        <f t="shared" si="8"/>
        <v>3734018</v>
      </c>
      <c r="J107" s="26">
        <f t="shared" si="9"/>
        <v>2526724.1507999999</v>
      </c>
      <c r="K107" s="26">
        <f t="shared" si="10"/>
        <v>3629315.4408000004</v>
      </c>
      <c r="L107" s="26">
        <f t="shared" si="11"/>
        <v>1621795.426</v>
      </c>
      <c r="M107" s="26">
        <f t="shared" si="12"/>
        <v>4785809.4648000002</v>
      </c>
      <c r="N107" s="65">
        <f t="shared" si="13"/>
        <v>16297662.4824</v>
      </c>
    </row>
    <row r="108" spans="1:14" x14ac:dyDescent="0.25">
      <c r="A108" s="3">
        <v>41578</v>
      </c>
      <c r="B108" s="26">
        <v>3843396</v>
      </c>
      <c r="C108" s="26">
        <v>2318.7440000000001</v>
      </c>
      <c r="D108" s="26">
        <v>2825890</v>
      </c>
      <c r="E108" s="26">
        <v>215514.2</v>
      </c>
      <c r="F108" s="26">
        <v>31451.73</v>
      </c>
      <c r="H108" s="3">
        <f t="shared" si="7"/>
        <v>41578</v>
      </c>
      <c r="I108" s="26">
        <f t="shared" si="8"/>
        <v>3843396</v>
      </c>
      <c r="J108" s="26">
        <f t="shared" si="9"/>
        <v>2505866.6408000002</v>
      </c>
      <c r="K108" s="26">
        <f t="shared" si="10"/>
        <v>3643702.5660000001</v>
      </c>
      <c r="L108" s="26">
        <f t="shared" si="11"/>
        <v>1678855.618</v>
      </c>
      <c r="M108" s="26">
        <f t="shared" si="12"/>
        <v>4836961.5567000005</v>
      </c>
      <c r="N108" s="65">
        <f t="shared" si="13"/>
        <v>16508782.381500002</v>
      </c>
    </row>
    <row r="109" spans="1:14" x14ac:dyDescent="0.25">
      <c r="A109" s="3">
        <v>41607</v>
      </c>
      <c r="B109" s="26">
        <v>3925876</v>
      </c>
      <c r="C109" s="26">
        <v>2290.9560000000001</v>
      </c>
      <c r="D109" s="26">
        <v>2832127</v>
      </c>
      <c r="E109" s="26">
        <v>224088.8</v>
      </c>
      <c r="F109" s="26">
        <v>31846.92</v>
      </c>
      <c r="H109" s="3">
        <f t="shared" si="7"/>
        <v>41607</v>
      </c>
      <c r="I109" s="26">
        <f t="shared" si="8"/>
        <v>3925876</v>
      </c>
      <c r="J109" s="26">
        <f t="shared" si="9"/>
        <v>2475836.1491999999</v>
      </c>
      <c r="K109" s="26">
        <f t="shared" si="10"/>
        <v>3651744.5538000003</v>
      </c>
      <c r="L109" s="26">
        <f t="shared" si="11"/>
        <v>1745651.7520000001</v>
      </c>
      <c r="M109" s="26">
        <f t="shared" si="12"/>
        <v>4897737.8267999999</v>
      </c>
      <c r="N109" s="65">
        <f t="shared" si="13"/>
        <v>16696846.2818</v>
      </c>
    </row>
    <row r="110" spans="1:14" x14ac:dyDescent="0.25">
      <c r="A110" s="3">
        <v>41639</v>
      </c>
      <c r="B110" s="26">
        <v>4032575</v>
      </c>
      <c r="C110" s="26">
        <v>2285.3989999999999</v>
      </c>
      <c r="D110" s="26">
        <v>2796962</v>
      </c>
      <c r="E110" s="26">
        <v>224189.8</v>
      </c>
      <c r="F110" s="26">
        <v>31727.86</v>
      </c>
      <c r="H110" s="3">
        <f t="shared" si="7"/>
        <v>41639</v>
      </c>
      <c r="I110" s="26">
        <f t="shared" si="8"/>
        <v>4032575</v>
      </c>
      <c r="J110" s="26">
        <f t="shared" si="9"/>
        <v>2469830.6993</v>
      </c>
      <c r="K110" s="26">
        <f t="shared" si="10"/>
        <v>3606402.8028000002</v>
      </c>
      <c r="L110" s="26">
        <f t="shared" si="11"/>
        <v>1746438.5419999999</v>
      </c>
      <c r="M110" s="26">
        <f t="shared" si="12"/>
        <v>4879427.5893999999</v>
      </c>
      <c r="N110" s="65">
        <f t="shared" si="13"/>
        <v>16734674.633499999</v>
      </c>
    </row>
    <row r="111" spans="1:14" x14ac:dyDescent="0.25">
      <c r="A111" s="3">
        <v>41670</v>
      </c>
      <c r="B111" s="26">
        <v>4102138</v>
      </c>
      <c r="C111" s="26">
        <v>2217.0610000000001</v>
      </c>
      <c r="D111" s="26">
        <v>2596651</v>
      </c>
      <c r="E111" s="26">
        <v>232178.1</v>
      </c>
      <c r="F111" s="26">
        <v>33118.15</v>
      </c>
      <c r="H111" s="3">
        <f t="shared" si="7"/>
        <v>41670</v>
      </c>
      <c r="I111" s="26">
        <f t="shared" si="8"/>
        <v>4102138</v>
      </c>
      <c r="J111" s="26">
        <f t="shared" si="9"/>
        <v>2395977.8226999999</v>
      </c>
      <c r="K111" s="26">
        <f t="shared" si="10"/>
        <v>3348121.7994000004</v>
      </c>
      <c r="L111" s="26">
        <f t="shared" si="11"/>
        <v>1808667.399</v>
      </c>
      <c r="M111" s="26">
        <f t="shared" si="12"/>
        <v>5093240.2885000007</v>
      </c>
      <c r="N111" s="65">
        <f t="shared" si="13"/>
        <v>16748145.309599999</v>
      </c>
    </row>
    <row r="112" spans="1:14" x14ac:dyDescent="0.25">
      <c r="A112" s="3">
        <v>41698</v>
      </c>
      <c r="B112" s="26">
        <v>4159972</v>
      </c>
      <c r="C112" s="26">
        <v>2181.0790000000002</v>
      </c>
      <c r="D112" s="26">
        <v>2602731</v>
      </c>
      <c r="E112" s="26">
        <v>240450.2</v>
      </c>
      <c r="F112" s="26">
        <v>32501.98</v>
      </c>
      <c r="H112" s="3">
        <f t="shared" si="7"/>
        <v>41698</v>
      </c>
      <c r="I112" s="26">
        <f t="shared" si="8"/>
        <v>4159972</v>
      </c>
      <c r="J112" s="26">
        <f t="shared" si="9"/>
        <v>2357092.0753000001</v>
      </c>
      <c r="K112" s="26">
        <f t="shared" si="10"/>
        <v>3355961.3514</v>
      </c>
      <c r="L112" s="26">
        <f t="shared" si="11"/>
        <v>1873107.058</v>
      </c>
      <c r="M112" s="26">
        <f t="shared" si="12"/>
        <v>4998479.5042000003</v>
      </c>
      <c r="N112" s="65">
        <f t="shared" si="13"/>
        <v>16744611.9889</v>
      </c>
    </row>
    <row r="113" spans="1:14" x14ac:dyDescent="0.25">
      <c r="A113" s="3">
        <v>41729</v>
      </c>
      <c r="B113" s="26">
        <v>4226971</v>
      </c>
      <c r="C113" s="26">
        <v>2152.1030000000001</v>
      </c>
      <c r="D113" s="26">
        <v>2525827</v>
      </c>
      <c r="E113" s="26">
        <v>240784.1</v>
      </c>
      <c r="F113" s="26">
        <v>32664.720000000001</v>
      </c>
      <c r="H113" s="3">
        <f t="shared" si="7"/>
        <v>41729</v>
      </c>
      <c r="I113" s="26">
        <f t="shared" si="8"/>
        <v>4226971</v>
      </c>
      <c r="J113" s="26">
        <f t="shared" si="9"/>
        <v>2325777.7121000001</v>
      </c>
      <c r="K113" s="26">
        <f t="shared" si="10"/>
        <v>3256801.3338000001</v>
      </c>
      <c r="L113" s="26">
        <f t="shared" si="11"/>
        <v>1875708.139</v>
      </c>
      <c r="M113" s="26">
        <f t="shared" si="12"/>
        <v>5023507.2888000002</v>
      </c>
      <c r="N113" s="65">
        <f t="shared" si="13"/>
        <v>16708765.473700002</v>
      </c>
    </row>
    <row r="114" spans="1:14" x14ac:dyDescent="0.25">
      <c r="A114" s="3">
        <v>41759</v>
      </c>
      <c r="B114" s="26">
        <v>4296049</v>
      </c>
      <c r="C114" s="26">
        <v>2169.0610000000001</v>
      </c>
      <c r="D114" s="26">
        <v>2473438</v>
      </c>
      <c r="E114" s="26">
        <v>246176.4</v>
      </c>
      <c r="F114" s="26">
        <v>32808.019999999997</v>
      </c>
      <c r="H114" s="3">
        <f t="shared" si="7"/>
        <v>41759</v>
      </c>
      <c r="I114" s="26">
        <f t="shared" si="8"/>
        <v>4296049</v>
      </c>
      <c r="J114" s="26">
        <f t="shared" si="9"/>
        <v>2344104.2226999998</v>
      </c>
      <c r="K114" s="26">
        <f t="shared" si="10"/>
        <v>3189250.9572000001</v>
      </c>
      <c r="L114" s="26">
        <f t="shared" si="11"/>
        <v>1917714.156</v>
      </c>
      <c r="M114" s="26">
        <f t="shared" si="12"/>
        <v>5045545.3958000001</v>
      </c>
      <c r="N114" s="65">
        <f t="shared" si="13"/>
        <v>16792663.731699999</v>
      </c>
    </row>
    <row r="115" spans="1:14" x14ac:dyDescent="0.25">
      <c r="A115" s="3">
        <v>41789</v>
      </c>
      <c r="B115" s="26">
        <v>4322654</v>
      </c>
      <c r="C115" s="26">
        <v>2197.0949999999998</v>
      </c>
      <c r="D115" s="26">
        <v>2496750</v>
      </c>
      <c r="E115" s="26">
        <v>253973.1</v>
      </c>
      <c r="F115" s="26">
        <v>32902.32</v>
      </c>
      <c r="H115" s="3">
        <f t="shared" si="7"/>
        <v>41789</v>
      </c>
      <c r="I115" s="26">
        <f t="shared" si="8"/>
        <v>4322654</v>
      </c>
      <c r="J115" s="26">
        <f t="shared" si="9"/>
        <v>2374400.5665000002</v>
      </c>
      <c r="K115" s="26">
        <f t="shared" si="10"/>
        <v>3219309.45</v>
      </c>
      <c r="L115" s="26">
        <f t="shared" si="11"/>
        <v>1978450.449</v>
      </c>
      <c r="M115" s="26">
        <f t="shared" si="12"/>
        <v>5060047.7927999999</v>
      </c>
      <c r="N115" s="65">
        <f t="shared" si="13"/>
        <v>16954862.258299999</v>
      </c>
    </row>
    <row r="116" spans="1:14" x14ac:dyDescent="0.25">
      <c r="A116" s="3">
        <v>41820</v>
      </c>
      <c r="B116" s="26">
        <v>4368348</v>
      </c>
      <c r="C116" s="26">
        <v>2088.0990000000002</v>
      </c>
      <c r="D116" s="26">
        <v>2509143</v>
      </c>
      <c r="E116" s="26">
        <v>257761.3</v>
      </c>
      <c r="F116" s="26">
        <v>32969.86</v>
      </c>
      <c r="H116" s="3">
        <f t="shared" si="7"/>
        <v>41820</v>
      </c>
      <c r="I116" s="26">
        <f t="shared" si="8"/>
        <v>4368348</v>
      </c>
      <c r="J116" s="26">
        <f t="shared" si="9"/>
        <v>2256608.5893000001</v>
      </c>
      <c r="K116" s="26">
        <f t="shared" si="10"/>
        <v>3235288.9842000003</v>
      </c>
      <c r="L116" s="26">
        <f t="shared" si="11"/>
        <v>2007960.527</v>
      </c>
      <c r="M116" s="26">
        <f t="shared" si="12"/>
        <v>5070434.7694000006</v>
      </c>
      <c r="N116" s="65">
        <f t="shared" si="13"/>
        <v>16938640.869900003</v>
      </c>
    </row>
    <row r="117" spans="1:14" x14ac:dyDescent="0.25">
      <c r="A117" s="3">
        <v>41851</v>
      </c>
      <c r="B117" s="26">
        <v>4406637</v>
      </c>
      <c r="C117" s="26">
        <v>2044.3119999999999</v>
      </c>
      <c r="D117" s="26">
        <v>2447300</v>
      </c>
      <c r="E117" s="26">
        <v>268967.7</v>
      </c>
      <c r="F117" s="26">
        <v>33009.160000000003</v>
      </c>
      <c r="H117" s="3">
        <f t="shared" si="7"/>
        <v>41851</v>
      </c>
      <c r="I117" s="26">
        <f t="shared" si="8"/>
        <v>4406637</v>
      </c>
      <c r="J117" s="26">
        <f t="shared" si="9"/>
        <v>2209287.9783999999</v>
      </c>
      <c r="K117" s="26">
        <f t="shared" si="10"/>
        <v>3155548.62</v>
      </c>
      <c r="L117" s="26">
        <f t="shared" si="11"/>
        <v>2095258.3829999999</v>
      </c>
      <c r="M117" s="26">
        <f t="shared" si="12"/>
        <v>5076478.7164000012</v>
      </c>
      <c r="N117" s="65">
        <f t="shared" si="13"/>
        <v>16943210.697800003</v>
      </c>
    </row>
    <row r="118" spans="1:14" x14ac:dyDescent="0.25">
      <c r="A118" s="3">
        <v>41880</v>
      </c>
      <c r="B118" s="26">
        <v>4413736</v>
      </c>
      <c r="C118" s="26">
        <v>2038.7159999999999</v>
      </c>
      <c r="D118" s="26">
        <v>2467343</v>
      </c>
      <c r="E118" s="26">
        <v>275895.59999999998</v>
      </c>
      <c r="F118" s="26">
        <v>33063.42</v>
      </c>
      <c r="H118" s="3">
        <f t="shared" si="7"/>
        <v>41880</v>
      </c>
      <c r="I118" s="26">
        <f t="shared" si="8"/>
        <v>4413736</v>
      </c>
      <c r="J118" s="26">
        <f t="shared" si="9"/>
        <v>2203240.3812000002</v>
      </c>
      <c r="K118" s="26">
        <f t="shared" si="10"/>
        <v>3181392.0642000004</v>
      </c>
      <c r="L118" s="26">
        <f t="shared" si="11"/>
        <v>2149226.7239999999</v>
      </c>
      <c r="M118" s="26">
        <f t="shared" si="12"/>
        <v>5084823.3618000001</v>
      </c>
      <c r="N118" s="65">
        <f t="shared" si="13"/>
        <v>17032418.531199999</v>
      </c>
    </row>
    <row r="119" spans="1:14" x14ac:dyDescent="0.25">
      <c r="A119" s="3">
        <v>41912</v>
      </c>
      <c r="B119" s="26">
        <v>4459050</v>
      </c>
      <c r="C119" s="26">
        <v>2038.2349999999999</v>
      </c>
      <c r="D119" s="26">
        <v>2440459</v>
      </c>
      <c r="E119" s="26">
        <v>276180</v>
      </c>
      <c r="F119" s="26">
        <v>33626.160000000003</v>
      </c>
      <c r="H119" s="3">
        <f t="shared" si="7"/>
        <v>41912</v>
      </c>
      <c r="I119" s="26">
        <f t="shared" si="8"/>
        <v>4459050</v>
      </c>
      <c r="J119" s="26">
        <f t="shared" si="9"/>
        <v>2202720.5644999999</v>
      </c>
      <c r="K119" s="26">
        <f t="shared" si="10"/>
        <v>3146727.8346000002</v>
      </c>
      <c r="L119" s="26">
        <f t="shared" si="11"/>
        <v>2151442.2000000002</v>
      </c>
      <c r="M119" s="26">
        <f t="shared" si="12"/>
        <v>5171367.1464</v>
      </c>
      <c r="N119" s="65">
        <f t="shared" si="13"/>
        <v>17131307.745500002</v>
      </c>
    </row>
    <row r="120" spans="1:14" x14ac:dyDescent="0.25">
      <c r="A120" s="3">
        <v>41943</v>
      </c>
      <c r="B120" s="26">
        <v>4486754</v>
      </c>
      <c r="C120" s="26">
        <v>2052.0700000000002</v>
      </c>
      <c r="D120" s="26">
        <v>2437028</v>
      </c>
      <c r="E120" s="26">
        <v>286838.09999999998</v>
      </c>
      <c r="F120" s="26">
        <v>33928.5</v>
      </c>
      <c r="H120" s="3">
        <f t="shared" si="7"/>
        <v>41943</v>
      </c>
      <c r="I120" s="26">
        <f t="shared" si="8"/>
        <v>4486754</v>
      </c>
      <c r="J120" s="26">
        <f t="shared" si="9"/>
        <v>2217672.0490000001</v>
      </c>
      <c r="K120" s="26">
        <f t="shared" si="10"/>
        <v>3142303.9032000001</v>
      </c>
      <c r="L120" s="26">
        <f t="shared" si="11"/>
        <v>2234468.7990000001</v>
      </c>
      <c r="M120" s="26">
        <f t="shared" si="12"/>
        <v>5217864.0150000006</v>
      </c>
      <c r="N120" s="65">
        <f t="shared" si="13"/>
        <v>17299062.766200002</v>
      </c>
    </row>
    <row r="121" spans="1:14" x14ac:dyDescent="0.25">
      <c r="A121" s="3">
        <v>41971</v>
      </c>
      <c r="B121" s="26">
        <v>4485931</v>
      </c>
      <c r="C121" s="26">
        <v>2053.8919999999998</v>
      </c>
      <c r="D121" s="26">
        <v>2444175</v>
      </c>
      <c r="E121" s="26">
        <v>297374.8</v>
      </c>
      <c r="F121" s="26">
        <v>34022.06</v>
      </c>
      <c r="H121" s="3">
        <f t="shared" si="7"/>
        <v>41971</v>
      </c>
      <c r="I121" s="26">
        <f t="shared" si="8"/>
        <v>4485931</v>
      </c>
      <c r="J121" s="26">
        <f t="shared" si="9"/>
        <v>2219641.0843999996</v>
      </c>
      <c r="K121" s="26">
        <f t="shared" si="10"/>
        <v>3151519.2450000001</v>
      </c>
      <c r="L121" s="26">
        <f t="shared" si="11"/>
        <v>2316549.6919999998</v>
      </c>
      <c r="M121" s="26">
        <f t="shared" si="12"/>
        <v>5232252.6074000001</v>
      </c>
      <c r="N121" s="65">
        <f t="shared" si="13"/>
        <v>17405893.628799997</v>
      </c>
    </row>
    <row r="122" spans="1:14" x14ac:dyDescent="0.25">
      <c r="A122" s="3">
        <v>42004</v>
      </c>
      <c r="B122" s="26">
        <v>4497660</v>
      </c>
      <c r="C122" s="26">
        <v>2150.2469999999998</v>
      </c>
      <c r="D122" s="26">
        <v>2432583</v>
      </c>
      <c r="E122" s="26">
        <v>300211.7</v>
      </c>
      <c r="F122" s="26">
        <v>33824.879999999997</v>
      </c>
      <c r="H122" s="3">
        <f t="shared" si="7"/>
        <v>42004</v>
      </c>
      <c r="I122" s="26">
        <f t="shared" si="8"/>
        <v>4497660</v>
      </c>
      <c r="J122" s="26">
        <f t="shared" si="9"/>
        <v>2323771.9328999999</v>
      </c>
      <c r="K122" s="26">
        <f t="shared" si="10"/>
        <v>3136572.5202000001</v>
      </c>
      <c r="L122" s="26">
        <f t="shared" si="11"/>
        <v>2338649.1430000002</v>
      </c>
      <c r="M122" s="26">
        <f t="shared" si="12"/>
        <v>5201928.2952000005</v>
      </c>
      <c r="N122" s="65">
        <f t="shared" si="13"/>
        <v>17498581.8913</v>
      </c>
    </row>
    <row r="123" spans="1:14" x14ac:dyDescent="0.25">
      <c r="A123" s="3">
        <v>42034</v>
      </c>
      <c r="B123" s="26">
        <v>4500064</v>
      </c>
      <c r="C123" s="26">
        <v>2181.9540000000002</v>
      </c>
      <c r="D123" s="26">
        <v>2449922</v>
      </c>
      <c r="E123" s="26">
        <v>311173.09999999998</v>
      </c>
      <c r="F123" s="26">
        <v>33886.800000000003</v>
      </c>
      <c r="H123" s="3">
        <f t="shared" si="7"/>
        <v>42034</v>
      </c>
      <c r="I123" s="26">
        <f t="shared" si="8"/>
        <v>4500064</v>
      </c>
      <c r="J123" s="26">
        <f t="shared" si="9"/>
        <v>2358037.6878</v>
      </c>
      <c r="K123" s="26">
        <f t="shared" si="10"/>
        <v>3158929.4268000005</v>
      </c>
      <c r="L123" s="26">
        <f t="shared" si="11"/>
        <v>2424038.449</v>
      </c>
      <c r="M123" s="26">
        <f t="shared" si="12"/>
        <v>5211450.9720000001</v>
      </c>
      <c r="N123" s="65">
        <f t="shared" si="13"/>
        <v>17652520.535599999</v>
      </c>
    </row>
    <row r="124" spans="1:14" x14ac:dyDescent="0.25">
      <c r="A124" s="3">
        <v>42062</v>
      </c>
      <c r="B124" s="26">
        <v>4486725</v>
      </c>
      <c r="C124" s="26">
        <v>2155.8359999999998</v>
      </c>
      <c r="D124" s="26">
        <v>2446265</v>
      </c>
      <c r="E124" s="26">
        <v>320441.90000000002</v>
      </c>
      <c r="F124" s="26">
        <v>34541.08</v>
      </c>
      <c r="H124" s="3">
        <f t="shared" si="7"/>
        <v>42062</v>
      </c>
      <c r="I124" s="26">
        <f t="shared" si="8"/>
        <v>4486725</v>
      </c>
      <c r="J124" s="26">
        <f t="shared" si="9"/>
        <v>2329811.9652</v>
      </c>
      <c r="K124" s="26">
        <f t="shared" si="10"/>
        <v>3154214.0910000005</v>
      </c>
      <c r="L124" s="26">
        <f t="shared" si="11"/>
        <v>2496242.4010000001</v>
      </c>
      <c r="M124" s="26">
        <f t="shared" si="12"/>
        <v>5312072.6932000006</v>
      </c>
      <c r="N124" s="65">
        <f t="shared" si="13"/>
        <v>17779066.150400002</v>
      </c>
    </row>
    <row r="125" spans="1:14" x14ac:dyDescent="0.25">
      <c r="A125" s="3">
        <v>42094</v>
      </c>
      <c r="B125" s="26">
        <v>4480603</v>
      </c>
      <c r="C125" s="26">
        <v>2250.8009999999999</v>
      </c>
      <c r="D125" s="26">
        <v>2439813</v>
      </c>
      <c r="E125" s="26">
        <v>322567.7</v>
      </c>
      <c r="F125" s="26">
        <v>34222.550000000003</v>
      </c>
      <c r="H125" s="3">
        <f t="shared" si="7"/>
        <v>42094</v>
      </c>
      <c r="I125" s="26">
        <f t="shared" si="8"/>
        <v>4480603</v>
      </c>
      <c r="J125" s="26">
        <f t="shared" si="9"/>
        <v>2432440.6406999999</v>
      </c>
      <c r="K125" s="26">
        <f t="shared" si="10"/>
        <v>3145894.8822000003</v>
      </c>
      <c r="L125" s="26">
        <f t="shared" si="11"/>
        <v>2512802.3829999999</v>
      </c>
      <c r="M125" s="26">
        <f t="shared" si="12"/>
        <v>5263085.9645000007</v>
      </c>
      <c r="N125" s="65">
        <f t="shared" si="13"/>
        <v>17834826.8704</v>
      </c>
    </row>
    <row r="126" spans="1:14" x14ac:dyDescent="0.25">
      <c r="A126" s="3">
        <v>42124</v>
      </c>
      <c r="B126" s="26">
        <v>4471499</v>
      </c>
      <c r="C126" s="26">
        <v>2360.79</v>
      </c>
      <c r="D126" s="26">
        <v>2440972</v>
      </c>
      <c r="E126" s="26">
        <v>332818.59999999998</v>
      </c>
      <c r="F126" s="26">
        <v>34088.83</v>
      </c>
      <c r="H126" s="3">
        <f t="shared" si="7"/>
        <v>42124</v>
      </c>
      <c r="I126" s="26">
        <f t="shared" si="8"/>
        <v>4471499</v>
      </c>
      <c r="J126" s="26">
        <f t="shared" si="9"/>
        <v>2551305.753</v>
      </c>
      <c r="K126" s="26">
        <f t="shared" si="10"/>
        <v>3147389.2968000001</v>
      </c>
      <c r="L126" s="26">
        <f t="shared" si="11"/>
        <v>2592656.8939999999</v>
      </c>
      <c r="M126" s="26">
        <f t="shared" si="12"/>
        <v>5242521.1657000007</v>
      </c>
      <c r="N126" s="65">
        <f t="shared" si="13"/>
        <v>18005372.109500002</v>
      </c>
    </row>
    <row r="127" spans="1:14" x14ac:dyDescent="0.25">
      <c r="A127" s="3">
        <v>42153</v>
      </c>
      <c r="B127" s="26">
        <v>4463981</v>
      </c>
      <c r="C127" s="26">
        <v>2416.6660000000002</v>
      </c>
      <c r="D127" s="26">
        <v>2444967</v>
      </c>
      <c r="E127" s="26">
        <v>343140.3</v>
      </c>
      <c r="F127" s="26">
        <v>34076.15</v>
      </c>
      <c r="H127" s="3">
        <f t="shared" si="7"/>
        <v>42153</v>
      </c>
      <c r="I127" s="26">
        <f t="shared" si="8"/>
        <v>4463981</v>
      </c>
      <c r="J127" s="26">
        <f t="shared" si="9"/>
        <v>2611690.9462000001</v>
      </c>
      <c r="K127" s="26">
        <f t="shared" si="10"/>
        <v>3152540.4498000001</v>
      </c>
      <c r="L127" s="26">
        <f t="shared" si="11"/>
        <v>2673062.9369999999</v>
      </c>
      <c r="M127" s="26">
        <f t="shared" si="12"/>
        <v>5240571.1085000001</v>
      </c>
      <c r="N127" s="65">
        <f t="shared" si="13"/>
        <v>18141846.441500001</v>
      </c>
    </row>
    <row r="128" spans="1:14" x14ac:dyDescent="0.25">
      <c r="A128" s="3">
        <v>42185</v>
      </c>
      <c r="B128" s="26">
        <v>4495055</v>
      </c>
      <c r="C128" s="26">
        <v>2539.5439999999999</v>
      </c>
      <c r="D128" s="26">
        <v>2429568</v>
      </c>
      <c r="E128" s="26">
        <v>345439.6</v>
      </c>
      <c r="F128" s="26">
        <v>33707.589999999997</v>
      </c>
      <c r="H128" s="3">
        <f t="shared" si="7"/>
        <v>42185</v>
      </c>
      <c r="I128" s="26">
        <f t="shared" si="8"/>
        <v>4495055</v>
      </c>
      <c r="J128" s="26">
        <f t="shared" si="9"/>
        <v>2744485.2007999998</v>
      </c>
      <c r="K128" s="26">
        <f t="shared" si="10"/>
        <v>3132684.9792000004</v>
      </c>
      <c r="L128" s="26">
        <f t="shared" si="11"/>
        <v>2690974.4840000002</v>
      </c>
      <c r="M128" s="26">
        <f t="shared" si="12"/>
        <v>5183890.2661000006</v>
      </c>
      <c r="N128" s="65">
        <f t="shared" si="13"/>
        <v>18247089.930100001</v>
      </c>
    </row>
    <row r="129" spans="1:14" x14ac:dyDescent="0.25">
      <c r="A129" s="3">
        <v>42216</v>
      </c>
      <c r="B129" s="26">
        <v>4485480</v>
      </c>
      <c r="C129" s="26">
        <v>2536.5920000000001</v>
      </c>
      <c r="D129" s="26">
        <v>2461701</v>
      </c>
      <c r="E129" s="26">
        <v>354294.1</v>
      </c>
      <c r="F129" s="26">
        <v>33519.769999999997</v>
      </c>
      <c r="H129" s="3">
        <f t="shared" si="7"/>
        <v>42216</v>
      </c>
      <c r="I129" s="26">
        <f t="shared" si="8"/>
        <v>4485480</v>
      </c>
      <c r="J129" s="26">
        <f t="shared" si="9"/>
        <v>2741294.9744000002</v>
      </c>
      <c r="K129" s="26">
        <f t="shared" si="10"/>
        <v>3174117.2694000001</v>
      </c>
      <c r="L129" s="26">
        <f t="shared" si="11"/>
        <v>2759951.0389999999</v>
      </c>
      <c r="M129" s="26">
        <f t="shared" si="12"/>
        <v>5155005.4282999998</v>
      </c>
      <c r="N129" s="65">
        <f t="shared" si="13"/>
        <v>18315848.711100001</v>
      </c>
    </row>
    <row r="130" spans="1:14" x14ac:dyDescent="0.25">
      <c r="A130" s="3">
        <v>42247</v>
      </c>
      <c r="B130" s="26">
        <v>4475105</v>
      </c>
      <c r="C130" s="26">
        <v>2558.7800000000002</v>
      </c>
      <c r="D130" s="26">
        <v>2445413</v>
      </c>
      <c r="E130" s="26">
        <v>361459.1</v>
      </c>
      <c r="F130" s="26">
        <v>33338.65</v>
      </c>
      <c r="H130" s="3">
        <f t="shared" si="7"/>
        <v>42247</v>
      </c>
      <c r="I130" s="26">
        <f t="shared" si="8"/>
        <v>4475105</v>
      </c>
      <c r="J130" s="26">
        <f t="shared" si="9"/>
        <v>2765273.5460000001</v>
      </c>
      <c r="K130" s="26">
        <f t="shared" si="10"/>
        <v>3153115.5222000005</v>
      </c>
      <c r="L130" s="26">
        <f t="shared" si="11"/>
        <v>2815766.389</v>
      </c>
      <c r="M130" s="26">
        <f t="shared" si="12"/>
        <v>5127150.9835000001</v>
      </c>
      <c r="N130" s="65">
        <f t="shared" si="13"/>
        <v>18336411.440700002</v>
      </c>
    </row>
    <row r="131" spans="1:14" x14ac:dyDescent="0.25">
      <c r="A131" s="3">
        <v>42277</v>
      </c>
      <c r="B131" s="26">
        <v>4484111</v>
      </c>
      <c r="C131" s="26">
        <v>2620.6309999999999</v>
      </c>
      <c r="D131" s="26">
        <v>2391091</v>
      </c>
      <c r="E131" s="26">
        <v>365392.7</v>
      </c>
      <c r="F131" s="26">
        <v>32603.89</v>
      </c>
      <c r="H131" s="3">
        <f t="shared" si="7"/>
        <v>42277</v>
      </c>
      <c r="I131" s="26">
        <f t="shared" si="8"/>
        <v>4484111</v>
      </c>
      <c r="J131" s="26">
        <f t="shared" si="9"/>
        <v>2832115.9216999998</v>
      </c>
      <c r="K131" s="26">
        <f t="shared" si="10"/>
        <v>3083072.7354000001</v>
      </c>
      <c r="L131" s="26">
        <f t="shared" si="11"/>
        <v>2846409.1329999999</v>
      </c>
      <c r="M131" s="26">
        <f t="shared" si="12"/>
        <v>5014152.2431000005</v>
      </c>
      <c r="N131" s="65">
        <f t="shared" si="13"/>
        <v>18259861.033199999</v>
      </c>
    </row>
    <row r="132" spans="1:14" x14ac:dyDescent="0.25">
      <c r="A132" s="3">
        <v>42307</v>
      </c>
      <c r="B132" s="26">
        <v>4489339</v>
      </c>
      <c r="C132" s="26">
        <v>2664.9960000000001</v>
      </c>
      <c r="D132" s="26">
        <v>2399545</v>
      </c>
      <c r="E132" s="26">
        <v>373553.7</v>
      </c>
      <c r="F132" s="26">
        <v>32731.38</v>
      </c>
      <c r="H132" s="3">
        <f t="shared" si="7"/>
        <v>42307</v>
      </c>
      <c r="I132" s="26">
        <f t="shared" si="8"/>
        <v>4489339</v>
      </c>
      <c r="J132" s="26">
        <f t="shared" si="9"/>
        <v>2880061.1771999998</v>
      </c>
      <c r="K132" s="26">
        <f t="shared" si="10"/>
        <v>3093973.3230000003</v>
      </c>
      <c r="L132" s="26">
        <f t="shared" si="11"/>
        <v>2909983.3229999999</v>
      </c>
      <c r="M132" s="26">
        <f t="shared" si="12"/>
        <v>5033758.9302000003</v>
      </c>
      <c r="N132" s="65">
        <f t="shared" si="13"/>
        <v>18407115.753399998</v>
      </c>
    </row>
    <row r="133" spans="1:14" x14ac:dyDescent="0.25">
      <c r="A133" s="3">
        <v>42338</v>
      </c>
      <c r="B133" s="26">
        <v>4477088</v>
      </c>
      <c r="C133" s="26">
        <v>2706.74</v>
      </c>
      <c r="D133" s="26">
        <v>2397505</v>
      </c>
      <c r="E133" s="26">
        <v>381254.3</v>
      </c>
      <c r="F133" s="26">
        <v>32625.26</v>
      </c>
      <c r="H133" s="3">
        <f t="shared" si="7"/>
        <v>42338</v>
      </c>
      <c r="I133" s="26">
        <f t="shared" si="8"/>
        <v>4477088</v>
      </c>
      <c r="J133" s="26">
        <f t="shared" si="9"/>
        <v>2925173.9180000001</v>
      </c>
      <c r="K133" s="26">
        <f t="shared" si="10"/>
        <v>3091342.9470000002</v>
      </c>
      <c r="L133" s="26">
        <f t="shared" si="11"/>
        <v>2969970.997</v>
      </c>
      <c r="M133" s="26">
        <f t="shared" si="12"/>
        <v>5017438.7354000006</v>
      </c>
      <c r="N133" s="65">
        <f t="shared" si="13"/>
        <v>18481014.597400002</v>
      </c>
    </row>
    <row r="134" spans="1:14" x14ac:dyDescent="0.25">
      <c r="A134" s="3">
        <v>42369</v>
      </c>
      <c r="B134" s="26">
        <v>4486587</v>
      </c>
      <c r="C134" s="26">
        <v>2767.8150000000001</v>
      </c>
      <c r="D134" s="26">
        <v>2378205</v>
      </c>
      <c r="E134" s="26">
        <v>383107.6</v>
      </c>
      <c r="F134" s="26">
        <v>31783.7</v>
      </c>
      <c r="H134" s="3">
        <f t="shared" si="7"/>
        <v>42369</v>
      </c>
      <c r="I134" s="26">
        <f t="shared" si="8"/>
        <v>4486587</v>
      </c>
      <c r="J134" s="26">
        <f t="shared" si="9"/>
        <v>2991177.6705</v>
      </c>
      <c r="K134" s="26">
        <f t="shared" si="10"/>
        <v>3066457.5270000002</v>
      </c>
      <c r="L134" s="26">
        <f t="shared" si="11"/>
        <v>2984408.2039999999</v>
      </c>
      <c r="M134" s="26">
        <f t="shared" si="12"/>
        <v>4888015.2230000002</v>
      </c>
      <c r="N134" s="65">
        <f t="shared" si="13"/>
        <v>18416645.624499999</v>
      </c>
    </row>
    <row r="135" spans="1:14" x14ac:dyDescent="0.25">
      <c r="A135" s="3">
        <v>42398</v>
      </c>
      <c r="B135" s="26">
        <v>4482349</v>
      </c>
      <c r="C135" s="26">
        <v>2808.3310000000001</v>
      </c>
      <c r="D135" s="26">
        <v>2406498</v>
      </c>
      <c r="E135" s="26">
        <v>396449.9</v>
      </c>
      <c r="F135" s="26">
        <v>33703.879999999997</v>
      </c>
      <c r="H135" s="3">
        <f t="shared" si="7"/>
        <v>42398</v>
      </c>
      <c r="I135" s="26">
        <f t="shared" si="8"/>
        <v>4482349</v>
      </c>
      <c r="J135" s="26">
        <f t="shared" si="9"/>
        <v>3034963.3117</v>
      </c>
      <c r="K135" s="26">
        <f t="shared" si="10"/>
        <v>3102938.5212000003</v>
      </c>
      <c r="L135" s="26">
        <f t="shared" si="11"/>
        <v>3088344.7209999999</v>
      </c>
      <c r="M135" s="26">
        <f t="shared" si="12"/>
        <v>5183319.7052000007</v>
      </c>
      <c r="N135" s="65">
        <f t="shared" si="13"/>
        <v>18891915.259100001</v>
      </c>
    </row>
    <row r="136" spans="1:14" x14ac:dyDescent="0.25">
      <c r="A136" s="3">
        <v>42429</v>
      </c>
      <c r="B136" s="26">
        <v>4489796</v>
      </c>
      <c r="C136" s="26">
        <v>2850.299</v>
      </c>
      <c r="D136" s="26">
        <v>2436258</v>
      </c>
      <c r="E136" s="26">
        <v>403790.9</v>
      </c>
      <c r="F136" s="26">
        <v>33584.300000000003</v>
      </c>
      <c r="H136" s="3">
        <f t="shared" ref="H136:H199" si="14">+A136</f>
        <v>42429</v>
      </c>
      <c r="I136" s="26">
        <f t="shared" ref="I136:I199" si="15">+B136</f>
        <v>4489796</v>
      </c>
      <c r="J136" s="26">
        <f t="shared" ref="J136:J199" si="16">+C136*1000*C$3</f>
        <v>3080318.1293000001</v>
      </c>
      <c r="K136" s="26">
        <f t="shared" ref="K136:K199" si="17">+IFERROR(D136*D$3,"")</f>
        <v>3141311.0652000001</v>
      </c>
      <c r="L136" s="26">
        <f t="shared" ref="L136:L199" si="18">+E136*1000*E$3</f>
        <v>3145531.111</v>
      </c>
      <c r="M136" s="26">
        <f t="shared" ref="M136:M199" si="19">+F136*1000*F$3</f>
        <v>5164929.4970000004</v>
      </c>
      <c r="N136" s="65">
        <f t="shared" ref="N136:N199" si="20">+SUM(I136:M136)</f>
        <v>19021885.802499998</v>
      </c>
    </row>
    <row r="137" spans="1:14" x14ac:dyDescent="0.25">
      <c r="A137" s="3">
        <v>42460</v>
      </c>
      <c r="B137" s="26">
        <v>4482840</v>
      </c>
      <c r="C137" s="26">
        <v>2897.6959999999999</v>
      </c>
      <c r="D137" s="26">
        <v>2439948</v>
      </c>
      <c r="E137" s="26">
        <v>405443.8</v>
      </c>
      <c r="F137" s="26">
        <v>32621.65</v>
      </c>
      <c r="H137" s="3">
        <f t="shared" si="14"/>
        <v>42460</v>
      </c>
      <c r="I137" s="26">
        <f t="shared" si="15"/>
        <v>4482840</v>
      </c>
      <c r="J137" s="26">
        <f t="shared" si="16"/>
        <v>3131540.0671999999</v>
      </c>
      <c r="K137" s="26">
        <f t="shared" si="17"/>
        <v>3146068.9512000005</v>
      </c>
      <c r="L137" s="26">
        <f t="shared" si="18"/>
        <v>3158407.202</v>
      </c>
      <c r="M137" s="26">
        <f t="shared" si="19"/>
        <v>5016883.5535000004</v>
      </c>
      <c r="N137" s="65">
        <f t="shared" si="20"/>
        <v>18935739.773900002</v>
      </c>
    </row>
    <row r="138" spans="1:14" x14ac:dyDescent="0.25">
      <c r="A138" s="3">
        <v>42489</v>
      </c>
      <c r="B138" s="26">
        <v>4474665</v>
      </c>
      <c r="C138" s="26">
        <v>3000.759</v>
      </c>
      <c r="D138" s="26">
        <v>2447824</v>
      </c>
      <c r="E138" s="26">
        <v>414416.4</v>
      </c>
      <c r="F138" s="26">
        <v>32908.89</v>
      </c>
      <c r="H138" s="3">
        <f t="shared" si="14"/>
        <v>42489</v>
      </c>
      <c r="I138" s="26">
        <f t="shared" si="15"/>
        <v>4474665</v>
      </c>
      <c r="J138" s="26">
        <f t="shared" si="16"/>
        <v>3242920.2513000001</v>
      </c>
      <c r="K138" s="26">
        <f t="shared" si="17"/>
        <v>3156224.2656</v>
      </c>
      <c r="L138" s="26">
        <f t="shared" si="18"/>
        <v>3228303.7560000001</v>
      </c>
      <c r="M138" s="26">
        <f t="shared" si="19"/>
        <v>5061058.1931000007</v>
      </c>
      <c r="N138" s="65">
        <f t="shared" si="20"/>
        <v>19163171.466000002</v>
      </c>
    </row>
    <row r="139" spans="1:14" x14ac:dyDescent="0.25">
      <c r="A139" s="3">
        <v>42521</v>
      </c>
      <c r="B139" s="26">
        <v>4461111</v>
      </c>
      <c r="C139" s="26">
        <v>3067.4810000000002</v>
      </c>
      <c r="D139" s="26">
        <v>2447925</v>
      </c>
      <c r="E139" s="26">
        <v>425669.7</v>
      </c>
      <c r="F139" s="26">
        <v>33027.410000000003</v>
      </c>
      <c r="H139" s="3">
        <f t="shared" si="14"/>
        <v>42521</v>
      </c>
      <c r="I139" s="26">
        <f t="shared" si="15"/>
        <v>4461111</v>
      </c>
      <c r="J139" s="26">
        <f t="shared" si="16"/>
        <v>3315026.7166999998</v>
      </c>
      <c r="K139" s="26">
        <f t="shared" si="17"/>
        <v>3156354.4950000001</v>
      </c>
      <c r="L139" s="26">
        <f t="shared" si="18"/>
        <v>3315966.963</v>
      </c>
      <c r="M139" s="26">
        <f t="shared" si="19"/>
        <v>5079285.3839000007</v>
      </c>
      <c r="N139" s="65">
        <f t="shared" si="20"/>
        <v>19327744.558600001</v>
      </c>
    </row>
    <row r="140" spans="1:14" x14ac:dyDescent="0.25">
      <c r="A140" s="3">
        <v>42551</v>
      </c>
      <c r="B140" s="26">
        <v>4466482</v>
      </c>
      <c r="C140" s="26">
        <v>3131.0949999999998</v>
      </c>
      <c r="D140" s="26">
        <v>2458752</v>
      </c>
      <c r="E140" s="26">
        <v>432758.6</v>
      </c>
      <c r="F140" s="26">
        <v>33814.21</v>
      </c>
      <c r="H140" s="3">
        <f t="shared" si="14"/>
        <v>42551</v>
      </c>
      <c r="I140" s="26">
        <f t="shared" si="15"/>
        <v>4466482</v>
      </c>
      <c r="J140" s="26">
        <f t="shared" si="16"/>
        <v>3383774.3665</v>
      </c>
      <c r="K140" s="26">
        <f t="shared" si="17"/>
        <v>3170314.8288000003</v>
      </c>
      <c r="L140" s="26">
        <f t="shared" si="18"/>
        <v>3371189.4939999999</v>
      </c>
      <c r="M140" s="26">
        <f t="shared" si="19"/>
        <v>5200287.3559000008</v>
      </c>
      <c r="N140" s="65">
        <f t="shared" si="20"/>
        <v>19592048.045200001</v>
      </c>
    </row>
    <row r="141" spans="1:14" x14ac:dyDescent="0.25">
      <c r="A141" s="3">
        <v>42580</v>
      </c>
      <c r="B141" s="26">
        <v>4464498</v>
      </c>
      <c r="C141" s="26">
        <v>3284.3090000000002</v>
      </c>
      <c r="D141" s="26">
        <v>2466591</v>
      </c>
      <c r="E141" s="26">
        <v>443084.79999999999</v>
      </c>
      <c r="F141" s="26">
        <v>33531.39</v>
      </c>
      <c r="H141" s="3">
        <f t="shared" si="14"/>
        <v>42580</v>
      </c>
      <c r="I141" s="26">
        <f t="shared" si="15"/>
        <v>4464498</v>
      </c>
      <c r="J141" s="26">
        <f t="shared" si="16"/>
        <v>3549352.7363</v>
      </c>
      <c r="K141" s="26">
        <f t="shared" si="17"/>
        <v>3180422.4354000003</v>
      </c>
      <c r="L141" s="26">
        <f t="shared" si="18"/>
        <v>3451630.5920000002</v>
      </c>
      <c r="M141" s="26">
        <f t="shared" si="19"/>
        <v>5156792.4681000002</v>
      </c>
      <c r="N141" s="65">
        <f t="shared" si="20"/>
        <v>19802696.231800001</v>
      </c>
    </row>
    <row r="142" spans="1:14" x14ac:dyDescent="0.25">
      <c r="A142" s="3">
        <v>42613</v>
      </c>
      <c r="B142" s="26">
        <v>4457907</v>
      </c>
      <c r="C142" s="26">
        <v>3330.4870000000001</v>
      </c>
      <c r="D142" s="26">
        <v>2469620</v>
      </c>
      <c r="E142" s="26">
        <v>452980.3</v>
      </c>
      <c r="F142" s="26">
        <v>33393.629999999997</v>
      </c>
      <c r="H142" s="3">
        <f t="shared" si="14"/>
        <v>42613</v>
      </c>
      <c r="I142" s="26">
        <f t="shared" si="15"/>
        <v>4457907</v>
      </c>
      <c r="J142" s="26">
        <f t="shared" si="16"/>
        <v>3599257.3009000001</v>
      </c>
      <c r="K142" s="26">
        <f t="shared" si="17"/>
        <v>3184328.0280000004</v>
      </c>
      <c r="L142" s="26">
        <f t="shared" si="18"/>
        <v>3528716.537</v>
      </c>
      <c r="M142" s="26">
        <f t="shared" si="19"/>
        <v>5135606.3576999996</v>
      </c>
      <c r="N142" s="65">
        <f t="shared" si="20"/>
        <v>19905815.2236</v>
      </c>
    </row>
    <row r="143" spans="1:14" x14ac:dyDescent="0.25">
      <c r="A143" s="3">
        <v>42643</v>
      </c>
      <c r="B143" s="26">
        <v>4452002</v>
      </c>
      <c r="C143" s="26">
        <v>3438.145</v>
      </c>
      <c r="D143" s="26">
        <v>2500281</v>
      </c>
      <c r="E143" s="26">
        <v>457225.4</v>
      </c>
      <c r="F143" s="26">
        <v>33495.040000000001</v>
      </c>
      <c r="H143" s="3">
        <f t="shared" si="14"/>
        <v>42643</v>
      </c>
      <c r="I143" s="26">
        <f t="shared" si="15"/>
        <v>4452002</v>
      </c>
      <c r="J143" s="26">
        <f t="shared" si="16"/>
        <v>3715603.3015000001</v>
      </c>
      <c r="K143" s="26">
        <f t="shared" si="17"/>
        <v>3223862.3214000002</v>
      </c>
      <c r="L143" s="26">
        <f t="shared" si="18"/>
        <v>3561785.8659999999</v>
      </c>
      <c r="M143" s="26">
        <f t="shared" si="19"/>
        <v>5151202.2016000003</v>
      </c>
      <c r="N143" s="65">
        <f t="shared" si="20"/>
        <v>20104455.690499999</v>
      </c>
    </row>
    <row r="144" spans="1:14" x14ac:dyDescent="0.25">
      <c r="A144" s="3">
        <v>42674</v>
      </c>
      <c r="B144" s="26">
        <v>4454326</v>
      </c>
      <c r="C144" s="26">
        <v>3507.4009999999998</v>
      </c>
      <c r="D144" s="26">
        <v>2489396</v>
      </c>
      <c r="E144" s="26">
        <v>463392.2</v>
      </c>
      <c r="F144" s="26">
        <v>34205.800000000003</v>
      </c>
      <c r="H144" s="3">
        <f t="shared" si="14"/>
        <v>42674</v>
      </c>
      <c r="I144" s="26">
        <f t="shared" si="15"/>
        <v>4454326</v>
      </c>
      <c r="J144" s="26">
        <f t="shared" si="16"/>
        <v>3790448.2607</v>
      </c>
      <c r="K144" s="26">
        <f t="shared" si="17"/>
        <v>3209827.2024000003</v>
      </c>
      <c r="L144" s="26">
        <f t="shared" si="18"/>
        <v>3609825.2379999999</v>
      </c>
      <c r="M144" s="26">
        <f t="shared" si="19"/>
        <v>5260509.9820000008</v>
      </c>
      <c r="N144" s="65">
        <f t="shared" si="20"/>
        <v>20324936.6831</v>
      </c>
    </row>
    <row r="145" spans="1:14" x14ac:dyDescent="0.25">
      <c r="A145" s="3">
        <v>42704</v>
      </c>
      <c r="B145" s="26">
        <v>4446307</v>
      </c>
      <c r="C145" s="26">
        <v>3566.23</v>
      </c>
      <c r="D145" s="26">
        <v>2496731</v>
      </c>
      <c r="E145" s="26">
        <v>471131</v>
      </c>
      <c r="F145" s="26">
        <v>33973.949999999997</v>
      </c>
      <c r="H145" s="3">
        <f t="shared" si="14"/>
        <v>42704</v>
      </c>
      <c r="I145" s="26">
        <f t="shared" si="15"/>
        <v>4446307</v>
      </c>
      <c r="J145" s="26">
        <f t="shared" si="16"/>
        <v>3854024.7609999999</v>
      </c>
      <c r="K145" s="26">
        <f t="shared" si="17"/>
        <v>3219284.9514000001</v>
      </c>
      <c r="L145" s="26">
        <f t="shared" si="18"/>
        <v>3670110.49</v>
      </c>
      <c r="M145" s="26">
        <f t="shared" si="19"/>
        <v>5224853.7705000006</v>
      </c>
      <c r="N145" s="65">
        <f t="shared" si="20"/>
        <v>20414580.972900003</v>
      </c>
    </row>
    <row r="146" spans="1:14" x14ac:dyDescent="0.25">
      <c r="A146" s="3">
        <v>42734</v>
      </c>
      <c r="B146" s="26">
        <v>4451451</v>
      </c>
      <c r="C146" s="26">
        <v>3662.9009999999998</v>
      </c>
      <c r="D146" s="26">
        <v>2534596</v>
      </c>
      <c r="E146" s="26">
        <v>476498</v>
      </c>
      <c r="F146" s="26">
        <v>34371.160000000003</v>
      </c>
      <c r="H146" s="3">
        <f t="shared" si="14"/>
        <v>42734</v>
      </c>
      <c r="I146" s="26">
        <f t="shared" si="15"/>
        <v>4451451</v>
      </c>
      <c r="J146" s="26">
        <f t="shared" si="16"/>
        <v>3958497.1107000001</v>
      </c>
      <c r="K146" s="26">
        <f t="shared" si="17"/>
        <v>3268108.0824000002</v>
      </c>
      <c r="L146" s="26">
        <f t="shared" si="18"/>
        <v>3711919.42</v>
      </c>
      <c r="M146" s="26">
        <f t="shared" si="19"/>
        <v>5285940.6964000007</v>
      </c>
      <c r="N146" s="65">
        <f t="shared" si="20"/>
        <v>20675916.309500001</v>
      </c>
    </row>
    <row r="147" spans="1:14" x14ac:dyDescent="0.25">
      <c r="A147" s="3">
        <v>42766</v>
      </c>
      <c r="B147" s="26">
        <v>4452838</v>
      </c>
      <c r="C147" s="26">
        <v>3740.7660000000001</v>
      </c>
      <c r="D147" s="26">
        <v>2536148</v>
      </c>
      <c r="E147" s="26">
        <v>481981.8</v>
      </c>
      <c r="F147" s="26">
        <v>34826.769999999997</v>
      </c>
      <c r="H147" s="3">
        <f t="shared" si="14"/>
        <v>42766</v>
      </c>
      <c r="I147" s="26">
        <f t="shared" si="15"/>
        <v>4452838</v>
      </c>
      <c r="J147" s="26">
        <f t="shared" si="16"/>
        <v>4042645.8161999998</v>
      </c>
      <c r="K147" s="26">
        <f t="shared" si="17"/>
        <v>3270109.2312000003</v>
      </c>
      <c r="L147" s="26">
        <f t="shared" si="18"/>
        <v>3754638.2220000001</v>
      </c>
      <c r="M147" s="26">
        <f t="shared" si="19"/>
        <v>5356008.9583000001</v>
      </c>
      <c r="N147" s="65">
        <f t="shared" si="20"/>
        <v>20876240.227700002</v>
      </c>
    </row>
    <row r="148" spans="1:14" x14ac:dyDescent="0.25">
      <c r="A148" s="3">
        <v>42794</v>
      </c>
      <c r="B148" s="26">
        <v>4468702</v>
      </c>
      <c r="C148" s="26">
        <v>3808.2420000000002</v>
      </c>
      <c r="D148" s="26">
        <v>2553432</v>
      </c>
      <c r="E148" s="26">
        <v>487901.1</v>
      </c>
      <c r="F148" s="26">
        <v>34546.959999999999</v>
      </c>
      <c r="H148" s="3">
        <f t="shared" si="14"/>
        <v>42794</v>
      </c>
      <c r="I148" s="26">
        <f t="shared" si="15"/>
        <v>4468702</v>
      </c>
      <c r="J148" s="26">
        <f t="shared" si="16"/>
        <v>4115567.1294</v>
      </c>
      <c r="K148" s="26">
        <f t="shared" si="17"/>
        <v>3292395.2208000002</v>
      </c>
      <c r="L148" s="26">
        <f t="shared" si="18"/>
        <v>3800749.5690000001</v>
      </c>
      <c r="M148" s="26">
        <f t="shared" si="19"/>
        <v>5312976.9784000004</v>
      </c>
      <c r="N148" s="65">
        <f t="shared" si="20"/>
        <v>20990390.897600003</v>
      </c>
    </row>
    <row r="149" spans="1:14" x14ac:dyDescent="0.25">
      <c r="A149" s="3">
        <v>42825</v>
      </c>
      <c r="B149" s="26">
        <v>4469618</v>
      </c>
      <c r="C149" s="26">
        <v>4100.7299999999996</v>
      </c>
      <c r="D149" s="26">
        <v>2617059</v>
      </c>
      <c r="E149" s="26">
        <v>490117.6</v>
      </c>
      <c r="F149" s="26">
        <v>33735.370000000003</v>
      </c>
      <c r="H149" s="3">
        <f t="shared" si="14"/>
        <v>42825</v>
      </c>
      <c r="I149" s="26">
        <f t="shared" si="15"/>
        <v>4469618</v>
      </c>
      <c r="J149" s="26">
        <f t="shared" si="16"/>
        <v>4431658.9109999994</v>
      </c>
      <c r="K149" s="26">
        <f t="shared" si="17"/>
        <v>3374435.8746000002</v>
      </c>
      <c r="L149" s="26">
        <f t="shared" si="18"/>
        <v>3818016.1039999998</v>
      </c>
      <c r="M149" s="26">
        <f t="shared" si="19"/>
        <v>5188162.5523000006</v>
      </c>
      <c r="N149" s="65">
        <f t="shared" si="20"/>
        <v>21281891.4419</v>
      </c>
    </row>
    <row r="150" spans="1:14" x14ac:dyDescent="0.25">
      <c r="A150" s="3">
        <v>42853</v>
      </c>
      <c r="B150" s="26">
        <v>4470142</v>
      </c>
      <c r="C150" s="26">
        <v>4148.0320000000002</v>
      </c>
      <c r="D150" s="26">
        <v>2627702</v>
      </c>
      <c r="E150" s="26">
        <v>497746.4</v>
      </c>
      <c r="F150" s="26">
        <v>34129.68</v>
      </c>
      <c r="H150" s="3">
        <f t="shared" si="14"/>
        <v>42853</v>
      </c>
      <c r="I150" s="26">
        <f t="shared" si="15"/>
        <v>4470142</v>
      </c>
      <c r="J150" s="26">
        <f t="shared" si="16"/>
        <v>4482778.1824000003</v>
      </c>
      <c r="K150" s="26">
        <f t="shared" si="17"/>
        <v>3388158.9588000001</v>
      </c>
      <c r="L150" s="26">
        <f t="shared" si="18"/>
        <v>3877444.4560000002</v>
      </c>
      <c r="M150" s="26">
        <f t="shared" si="19"/>
        <v>5248803.4872000003</v>
      </c>
      <c r="N150" s="65">
        <f t="shared" si="20"/>
        <v>21467327.084399998</v>
      </c>
    </row>
    <row r="151" spans="1:14" x14ac:dyDescent="0.25">
      <c r="A151" s="3">
        <v>42886</v>
      </c>
      <c r="B151" s="26">
        <v>4459914</v>
      </c>
      <c r="C151" s="26">
        <v>4195.6850000000004</v>
      </c>
      <c r="D151" s="26">
        <v>2647259</v>
      </c>
      <c r="E151" s="26">
        <v>500800.8</v>
      </c>
      <c r="F151" s="26">
        <v>34248.519999999997</v>
      </c>
      <c r="H151" s="3">
        <f t="shared" si="14"/>
        <v>42886</v>
      </c>
      <c r="I151" s="26">
        <f t="shared" si="15"/>
        <v>4459914</v>
      </c>
      <c r="J151" s="26">
        <f t="shared" si="16"/>
        <v>4534276.7795000002</v>
      </c>
      <c r="K151" s="26">
        <f t="shared" si="17"/>
        <v>3413375.7546000001</v>
      </c>
      <c r="L151" s="26">
        <f t="shared" si="18"/>
        <v>3901238.2319999998</v>
      </c>
      <c r="M151" s="26">
        <f t="shared" si="19"/>
        <v>5267079.8908000002</v>
      </c>
      <c r="N151" s="65">
        <f t="shared" si="20"/>
        <v>21575884.6569</v>
      </c>
    </row>
    <row r="152" spans="1:14" x14ac:dyDescent="0.25">
      <c r="A152" s="3">
        <v>42916</v>
      </c>
      <c r="B152" s="26">
        <v>4463347</v>
      </c>
      <c r="C152" s="26">
        <v>4209.51</v>
      </c>
      <c r="D152" s="26">
        <v>2713566</v>
      </c>
      <c r="E152" s="26">
        <v>502108.4</v>
      </c>
      <c r="F152" s="26">
        <v>34502.559999999998</v>
      </c>
      <c r="H152" s="3">
        <f t="shared" si="14"/>
        <v>42916</v>
      </c>
      <c r="I152" s="26">
        <f t="shared" si="15"/>
        <v>4463347</v>
      </c>
      <c r="J152" s="26">
        <f t="shared" si="16"/>
        <v>4549217.4570000004</v>
      </c>
      <c r="K152" s="26">
        <f t="shared" si="17"/>
        <v>3498872.0004000003</v>
      </c>
      <c r="L152" s="26">
        <f t="shared" si="18"/>
        <v>3911424.4360000002</v>
      </c>
      <c r="M152" s="26">
        <f t="shared" si="19"/>
        <v>5306148.7024000008</v>
      </c>
      <c r="N152" s="65">
        <f t="shared" si="20"/>
        <v>21729009.595800005</v>
      </c>
    </row>
    <row r="153" spans="1:14" x14ac:dyDescent="0.25">
      <c r="A153" s="3">
        <v>42947</v>
      </c>
      <c r="B153" s="26">
        <v>4465284</v>
      </c>
      <c r="C153" s="26">
        <v>4248.28</v>
      </c>
      <c r="D153" s="26">
        <v>2730321</v>
      </c>
      <c r="E153" s="26">
        <v>505560.3</v>
      </c>
      <c r="F153" s="26">
        <v>35061.01</v>
      </c>
      <c r="H153" s="3">
        <f t="shared" si="14"/>
        <v>42947</v>
      </c>
      <c r="I153" s="26">
        <f t="shared" si="15"/>
        <v>4465284</v>
      </c>
      <c r="J153" s="26">
        <f t="shared" si="16"/>
        <v>4591116.1959999995</v>
      </c>
      <c r="K153" s="26">
        <f t="shared" si="17"/>
        <v>3520475.8974000001</v>
      </c>
      <c r="L153" s="26">
        <f t="shared" si="18"/>
        <v>3938314.7370000002</v>
      </c>
      <c r="M153" s="26">
        <f t="shared" si="19"/>
        <v>5392032.7279000003</v>
      </c>
      <c r="N153" s="65">
        <f t="shared" si="20"/>
        <v>21907223.558299996</v>
      </c>
    </row>
    <row r="154" spans="1:14" x14ac:dyDescent="0.25">
      <c r="A154" s="3">
        <v>42978</v>
      </c>
      <c r="B154" s="26">
        <v>4452360</v>
      </c>
      <c r="C154" s="26">
        <v>4278.8810000000003</v>
      </c>
      <c r="D154" s="26">
        <v>2738178</v>
      </c>
      <c r="E154" s="26">
        <v>511584.5</v>
      </c>
      <c r="F154" s="26">
        <v>34714.44</v>
      </c>
      <c r="H154" s="3">
        <f t="shared" si="14"/>
        <v>42978</v>
      </c>
      <c r="I154" s="26">
        <f t="shared" si="15"/>
        <v>4452360</v>
      </c>
      <c r="J154" s="26">
        <f t="shared" si="16"/>
        <v>4624186.6967000002</v>
      </c>
      <c r="K154" s="26">
        <f t="shared" si="17"/>
        <v>3530606.7132000001</v>
      </c>
      <c r="L154" s="26">
        <f t="shared" si="18"/>
        <v>3985243.2549999999</v>
      </c>
      <c r="M154" s="26">
        <f t="shared" si="19"/>
        <v>5338733.7276000008</v>
      </c>
      <c r="N154" s="65">
        <f t="shared" si="20"/>
        <v>21931130.392499998</v>
      </c>
    </row>
    <row r="155" spans="1:14" x14ac:dyDescent="0.25">
      <c r="A155" s="3">
        <v>43007</v>
      </c>
      <c r="B155" s="26">
        <v>4455661</v>
      </c>
      <c r="C155" s="26">
        <v>4318.6239999999998</v>
      </c>
      <c r="D155" s="26">
        <v>2776131</v>
      </c>
      <c r="E155" s="26">
        <v>513398.5</v>
      </c>
      <c r="F155" s="26">
        <v>34999.660000000003</v>
      </c>
      <c r="H155" s="3">
        <f t="shared" si="14"/>
        <v>43007</v>
      </c>
      <c r="I155" s="26">
        <f t="shared" si="15"/>
        <v>4455661</v>
      </c>
      <c r="J155" s="26">
        <f t="shared" si="16"/>
        <v>4667136.9567999998</v>
      </c>
      <c r="K155" s="26">
        <f t="shared" si="17"/>
        <v>3579543.3114000005</v>
      </c>
      <c r="L155" s="26">
        <f t="shared" si="18"/>
        <v>3999374.3149999999</v>
      </c>
      <c r="M155" s="26">
        <f t="shared" si="19"/>
        <v>5382597.7114000004</v>
      </c>
      <c r="N155" s="65">
        <f t="shared" si="20"/>
        <v>22084313.294599999</v>
      </c>
    </row>
    <row r="156" spans="1:14" x14ac:dyDescent="0.25">
      <c r="A156" s="3">
        <v>43039</v>
      </c>
      <c r="B156" s="26">
        <v>4461117</v>
      </c>
      <c r="C156" s="26">
        <v>4371.2219999999998</v>
      </c>
      <c r="D156" s="26">
        <v>2753502</v>
      </c>
      <c r="E156" s="26">
        <v>518046.2</v>
      </c>
      <c r="F156" s="26">
        <v>35887.54</v>
      </c>
      <c r="H156" s="3">
        <f t="shared" si="14"/>
        <v>43039</v>
      </c>
      <c r="I156" s="26">
        <f t="shared" si="15"/>
        <v>4461117</v>
      </c>
      <c r="J156" s="26">
        <f t="shared" si="16"/>
        <v>4723979.6153999995</v>
      </c>
      <c r="K156" s="26">
        <f t="shared" si="17"/>
        <v>3550365.4788000002</v>
      </c>
      <c r="L156" s="26">
        <f t="shared" si="18"/>
        <v>4035579.898</v>
      </c>
      <c r="M156" s="26">
        <f t="shared" si="19"/>
        <v>5519144.7766000004</v>
      </c>
      <c r="N156" s="65">
        <f t="shared" si="20"/>
        <v>22290186.768800002</v>
      </c>
    </row>
    <row r="157" spans="1:14" x14ac:dyDescent="0.25">
      <c r="A157" s="3">
        <v>43069</v>
      </c>
      <c r="B157" s="26">
        <v>4438592</v>
      </c>
      <c r="C157" s="26">
        <v>4427.4740000000002</v>
      </c>
      <c r="D157" s="26">
        <v>2718119</v>
      </c>
      <c r="E157" s="26">
        <v>521860</v>
      </c>
      <c r="F157" s="26">
        <v>36247.39</v>
      </c>
      <c r="H157" s="3">
        <f t="shared" si="14"/>
        <v>43069</v>
      </c>
      <c r="I157" s="26">
        <f t="shared" si="15"/>
        <v>4438592</v>
      </c>
      <c r="J157" s="26">
        <f t="shared" si="16"/>
        <v>4784771.1518000001</v>
      </c>
      <c r="K157" s="26">
        <f t="shared" si="17"/>
        <v>3504742.6386000002</v>
      </c>
      <c r="L157" s="26">
        <f t="shared" si="18"/>
        <v>4065289.4</v>
      </c>
      <c r="M157" s="26">
        <f t="shared" si="19"/>
        <v>5574486.1081000008</v>
      </c>
      <c r="N157" s="65">
        <f t="shared" si="20"/>
        <v>22367881.298499998</v>
      </c>
    </row>
    <row r="158" spans="1:14" x14ac:dyDescent="0.25">
      <c r="A158" s="3">
        <v>43098</v>
      </c>
      <c r="B158" s="26">
        <v>4448680</v>
      </c>
      <c r="C158" s="26">
        <v>4471.5630000000001</v>
      </c>
      <c r="D158" s="26">
        <v>2707575</v>
      </c>
      <c r="E158" s="26">
        <v>521416.2</v>
      </c>
      <c r="F158" s="26">
        <v>36293.160000000003</v>
      </c>
      <c r="H158" s="3">
        <f t="shared" si="14"/>
        <v>43098</v>
      </c>
      <c r="I158" s="26">
        <f t="shared" si="15"/>
        <v>4448680</v>
      </c>
      <c r="J158" s="26">
        <f t="shared" si="16"/>
        <v>4832418.1341000004</v>
      </c>
      <c r="K158" s="26">
        <f t="shared" si="17"/>
        <v>3491147.2050000001</v>
      </c>
      <c r="L158" s="26">
        <f t="shared" si="18"/>
        <v>4061832.1979999999</v>
      </c>
      <c r="M158" s="26">
        <f t="shared" si="19"/>
        <v>5581525.0764000006</v>
      </c>
      <c r="N158" s="65">
        <f t="shared" si="20"/>
        <v>22415602.613500003</v>
      </c>
    </row>
    <row r="159" spans="1:14" x14ac:dyDescent="0.25">
      <c r="A159" s="3">
        <v>43131</v>
      </c>
      <c r="B159" s="26">
        <v>4419225</v>
      </c>
      <c r="C159" s="26">
        <v>4493.058</v>
      </c>
      <c r="D159" s="26">
        <v>2647626</v>
      </c>
      <c r="E159" s="26">
        <v>526703.6</v>
      </c>
      <c r="F159" s="26">
        <v>35780.019999999997</v>
      </c>
      <c r="H159" s="3">
        <f t="shared" si="14"/>
        <v>43131</v>
      </c>
      <c r="I159" s="26">
        <f t="shared" si="15"/>
        <v>4419225</v>
      </c>
      <c r="J159" s="26">
        <f t="shared" si="16"/>
        <v>4855647.7806000002</v>
      </c>
      <c r="K159" s="26">
        <f t="shared" si="17"/>
        <v>3413848.9644000004</v>
      </c>
      <c r="L159" s="26">
        <f t="shared" si="18"/>
        <v>4103021.0440000002</v>
      </c>
      <c r="M159" s="26">
        <f t="shared" si="19"/>
        <v>5502609.2757999999</v>
      </c>
      <c r="N159" s="65">
        <f t="shared" si="20"/>
        <v>22294352.064800002</v>
      </c>
    </row>
    <row r="160" spans="1:14" x14ac:dyDescent="0.25">
      <c r="A160" s="3">
        <v>43159</v>
      </c>
      <c r="B160" s="26">
        <v>4393401</v>
      </c>
      <c r="C160" s="26">
        <v>4511.54</v>
      </c>
      <c r="D160" s="26">
        <v>2697923</v>
      </c>
      <c r="E160" s="26">
        <v>533179.19999999995</v>
      </c>
      <c r="F160" s="26">
        <v>36252.82</v>
      </c>
      <c r="H160" s="3">
        <f t="shared" si="14"/>
        <v>43159</v>
      </c>
      <c r="I160" s="26">
        <f t="shared" si="15"/>
        <v>4393401</v>
      </c>
      <c r="J160" s="26">
        <f t="shared" si="16"/>
        <v>4875621.2779999999</v>
      </c>
      <c r="K160" s="26">
        <f t="shared" si="17"/>
        <v>3478701.9162000003</v>
      </c>
      <c r="L160" s="26">
        <f t="shared" si="18"/>
        <v>4153465.9679999994</v>
      </c>
      <c r="M160" s="26">
        <f t="shared" si="19"/>
        <v>5575321.1878000004</v>
      </c>
      <c r="N160" s="65">
        <f t="shared" si="20"/>
        <v>22476511.350000001</v>
      </c>
    </row>
    <row r="161" spans="1:14" x14ac:dyDescent="0.25">
      <c r="A161" s="3">
        <v>43189</v>
      </c>
      <c r="B161" s="26">
        <v>4392198</v>
      </c>
      <c r="C161" s="26">
        <v>4529.5789999999997</v>
      </c>
      <c r="D161" s="26">
        <v>2684008</v>
      </c>
      <c r="E161" s="26">
        <v>528520.1</v>
      </c>
      <c r="F161" s="26">
        <v>35960.839999999997</v>
      </c>
      <c r="H161" s="3">
        <f t="shared" si="14"/>
        <v>43189</v>
      </c>
      <c r="I161" s="26">
        <f t="shared" si="15"/>
        <v>4392198</v>
      </c>
      <c r="J161" s="26">
        <f t="shared" si="16"/>
        <v>4895116.0252999999</v>
      </c>
      <c r="K161" s="26">
        <f t="shared" si="17"/>
        <v>3460759.9152000002</v>
      </c>
      <c r="L161" s="26">
        <f t="shared" si="18"/>
        <v>4117171.5789999999</v>
      </c>
      <c r="M161" s="26">
        <f t="shared" si="19"/>
        <v>5530417.5836000005</v>
      </c>
      <c r="N161" s="65">
        <f t="shared" si="20"/>
        <v>22395663.103100002</v>
      </c>
    </row>
    <row r="162" spans="1:14" x14ac:dyDescent="0.25">
      <c r="A162" s="3">
        <v>43220</v>
      </c>
      <c r="B162" s="26">
        <v>4372886</v>
      </c>
      <c r="C162" s="26">
        <v>4554.3440000000001</v>
      </c>
      <c r="D162" s="26">
        <v>2672339</v>
      </c>
      <c r="E162" s="26">
        <v>535051</v>
      </c>
      <c r="F162" s="26">
        <v>35322.53</v>
      </c>
      <c r="H162" s="3">
        <f t="shared" si="14"/>
        <v>43220</v>
      </c>
      <c r="I162" s="26">
        <f t="shared" si="15"/>
        <v>4372886</v>
      </c>
      <c r="J162" s="26">
        <f t="shared" si="16"/>
        <v>4921879.5608000001</v>
      </c>
      <c r="K162" s="26">
        <f t="shared" si="17"/>
        <v>3445713.9066000003</v>
      </c>
      <c r="L162" s="26">
        <f t="shared" si="18"/>
        <v>4168047.29</v>
      </c>
      <c r="M162" s="26">
        <f t="shared" si="19"/>
        <v>5432251.8887</v>
      </c>
      <c r="N162" s="65">
        <f t="shared" si="20"/>
        <v>22340778.646100003</v>
      </c>
    </row>
    <row r="163" spans="1:14" x14ac:dyDescent="0.25">
      <c r="A163" s="3">
        <v>43251</v>
      </c>
      <c r="B163" s="26">
        <v>4327519</v>
      </c>
      <c r="C163" s="26">
        <v>4562.6509999999998</v>
      </c>
      <c r="D163" s="26">
        <v>2654550</v>
      </c>
      <c r="E163" s="26">
        <v>540803.6</v>
      </c>
      <c r="F163" s="26">
        <v>35614.949999999997</v>
      </c>
      <c r="H163" s="3">
        <f t="shared" si="14"/>
        <v>43251</v>
      </c>
      <c r="I163" s="26">
        <f t="shared" si="15"/>
        <v>4327519</v>
      </c>
      <c r="J163" s="26">
        <f t="shared" si="16"/>
        <v>4930856.9357000003</v>
      </c>
      <c r="K163" s="26">
        <f t="shared" si="17"/>
        <v>3422776.7700000005</v>
      </c>
      <c r="L163" s="26">
        <f t="shared" si="18"/>
        <v>4212860.0439999998</v>
      </c>
      <c r="M163" s="26">
        <f t="shared" si="19"/>
        <v>5477223.1605000002</v>
      </c>
      <c r="N163" s="65">
        <f t="shared" si="20"/>
        <v>22371235.9102</v>
      </c>
    </row>
    <row r="164" spans="1:14" x14ac:dyDescent="0.25">
      <c r="A164" s="3">
        <v>43280</v>
      </c>
      <c r="B164" s="26">
        <v>4305491</v>
      </c>
      <c r="C164" s="26">
        <v>4592.518</v>
      </c>
      <c r="D164" s="26">
        <v>2708835</v>
      </c>
      <c r="E164" s="26">
        <v>537016.80000000005</v>
      </c>
      <c r="F164" s="26">
        <v>36270.239999999998</v>
      </c>
      <c r="H164" s="3">
        <f t="shared" si="14"/>
        <v>43280</v>
      </c>
      <c r="I164" s="26">
        <f t="shared" si="15"/>
        <v>4305491</v>
      </c>
      <c r="J164" s="26">
        <f t="shared" si="16"/>
        <v>4963134.2026000004</v>
      </c>
      <c r="K164" s="26">
        <f t="shared" si="17"/>
        <v>3492771.8490000004</v>
      </c>
      <c r="L164" s="26">
        <f t="shared" si="18"/>
        <v>4183360.872</v>
      </c>
      <c r="M164" s="26">
        <f t="shared" si="19"/>
        <v>5578000.2096000006</v>
      </c>
      <c r="N164" s="65">
        <f t="shared" si="20"/>
        <v>22522758.133200005</v>
      </c>
    </row>
    <row r="165" spans="1:14" x14ac:dyDescent="0.25">
      <c r="A165" s="3">
        <v>43312</v>
      </c>
      <c r="B165" s="26">
        <v>4277681</v>
      </c>
      <c r="C165" s="26">
        <v>4612.0060000000003</v>
      </c>
      <c r="D165" s="26">
        <v>2635856</v>
      </c>
      <c r="E165" s="26">
        <v>546310.80000000005</v>
      </c>
      <c r="F165" s="26">
        <v>36328.300000000003</v>
      </c>
      <c r="H165" s="3">
        <f t="shared" si="14"/>
        <v>43312</v>
      </c>
      <c r="I165" s="26">
        <f t="shared" si="15"/>
        <v>4277681</v>
      </c>
      <c r="J165" s="26">
        <f t="shared" si="16"/>
        <v>4984194.8842000002</v>
      </c>
      <c r="K165" s="26">
        <f t="shared" si="17"/>
        <v>3398672.7264</v>
      </c>
      <c r="L165" s="26">
        <f t="shared" si="18"/>
        <v>4255761.1320000002</v>
      </c>
      <c r="M165" s="26">
        <f t="shared" si="19"/>
        <v>5586929.2570000002</v>
      </c>
      <c r="N165" s="65">
        <f t="shared" si="20"/>
        <v>22503238.999599997</v>
      </c>
    </row>
    <row r="166" spans="1:14" x14ac:dyDescent="0.25">
      <c r="A166" s="3">
        <v>43343</v>
      </c>
      <c r="B166" s="26">
        <v>4218914</v>
      </c>
      <c r="C166" s="26">
        <v>4621.3549999999996</v>
      </c>
      <c r="D166" s="26">
        <v>2644962</v>
      </c>
      <c r="E166" s="26">
        <v>550936.4</v>
      </c>
      <c r="F166" s="26">
        <v>36261.69</v>
      </c>
      <c r="H166" s="3">
        <f t="shared" si="14"/>
        <v>43343</v>
      </c>
      <c r="I166" s="26">
        <f t="shared" si="15"/>
        <v>4218914</v>
      </c>
      <c r="J166" s="26">
        <f t="shared" si="16"/>
        <v>4994298.3485000003</v>
      </c>
      <c r="K166" s="26">
        <f t="shared" si="17"/>
        <v>3410414.0028000004</v>
      </c>
      <c r="L166" s="26">
        <f t="shared" si="18"/>
        <v>4291794.5559999999</v>
      </c>
      <c r="M166" s="26">
        <f t="shared" si="19"/>
        <v>5576685.3051000005</v>
      </c>
      <c r="N166" s="65">
        <f t="shared" si="20"/>
        <v>22492106.212400004</v>
      </c>
    </row>
    <row r="167" spans="1:14" x14ac:dyDescent="0.25">
      <c r="A167" s="3">
        <v>43371</v>
      </c>
      <c r="B167" s="26">
        <v>4192909</v>
      </c>
      <c r="C167" s="26">
        <v>4619.7920000000004</v>
      </c>
      <c r="D167" s="26">
        <v>2658016</v>
      </c>
      <c r="E167" s="26">
        <v>545535</v>
      </c>
      <c r="F167" s="26">
        <v>36622.980000000003</v>
      </c>
      <c r="H167" s="3">
        <f t="shared" si="14"/>
        <v>43371</v>
      </c>
      <c r="I167" s="26">
        <f t="shared" si="15"/>
        <v>4192909</v>
      </c>
      <c r="J167" s="26">
        <f t="shared" si="16"/>
        <v>4992609.2143999999</v>
      </c>
      <c r="K167" s="26">
        <f t="shared" si="17"/>
        <v>3427245.8304000003</v>
      </c>
      <c r="L167" s="26">
        <f t="shared" si="18"/>
        <v>4249717.6500000004</v>
      </c>
      <c r="M167" s="26">
        <f t="shared" si="19"/>
        <v>5632248.0942000002</v>
      </c>
      <c r="N167" s="65">
        <f t="shared" si="20"/>
        <v>22494729.789000005</v>
      </c>
    </row>
    <row r="168" spans="1:14" x14ac:dyDescent="0.25">
      <c r="A168" s="3">
        <v>43404</v>
      </c>
      <c r="B168" s="26">
        <v>4139731</v>
      </c>
      <c r="C168" s="26">
        <v>4624.7920000000004</v>
      </c>
      <c r="D168" s="26">
        <v>2671324</v>
      </c>
      <c r="E168" s="26">
        <v>551805.5</v>
      </c>
      <c r="F168" s="26">
        <v>35833.800000000003</v>
      </c>
      <c r="H168" s="3">
        <f t="shared" si="14"/>
        <v>43404</v>
      </c>
      <c r="I168" s="26">
        <f t="shared" si="15"/>
        <v>4139731</v>
      </c>
      <c r="J168" s="26">
        <f t="shared" si="16"/>
        <v>4998012.7143999999</v>
      </c>
      <c r="K168" s="26">
        <f t="shared" si="17"/>
        <v>3444405.1656000004</v>
      </c>
      <c r="L168" s="26">
        <f t="shared" si="18"/>
        <v>4298564.8449999997</v>
      </c>
      <c r="M168" s="26">
        <f t="shared" si="19"/>
        <v>5510880.102</v>
      </c>
      <c r="N168" s="65">
        <f t="shared" si="20"/>
        <v>22391593.827</v>
      </c>
    </row>
    <row r="169" spans="1:14" x14ac:dyDescent="0.25">
      <c r="A169" s="3">
        <v>43434</v>
      </c>
      <c r="B169" s="26">
        <v>4097170</v>
      </c>
      <c r="C169" s="26">
        <v>4660.299</v>
      </c>
      <c r="D169" s="26">
        <v>2673330</v>
      </c>
      <c r="E169" s="26">
        <v>555501</v>
      </c>
      <c r="F169" s="26">
        <v>35906.99</v>
      </c>
      <c r="H169" s="3">
        <f t="shared" si="14"/>
        <v>43434</v>
      </c>
      <c r="I169" s="26">
        <f t="shared" si="15"/>
        <v>4097170</v>
      </c>
      <c r="J169" s="26">
        <f t="shared" si="16"/>
        <v>5036385.1293000001</v>
      </c>
      <c r="K169" s="26">
        <f t="shared" si="17"/>
        <v>3446991.702</v>
      </c>
      <c r="L169" s="26">
        <f t="shared" si="18"/>
        <v>4327352.79</v>
      </c>
      <c r="M169" s="26">
        <f t="shared" si="19"/>
        <v>5522135.9921000004</v>
      </c>
      <c r="N169" s="65">
        <f t="shared" si="20"/>
        <v>22430035.613400001</v>
      </c>
    </row>
    <row r="170" spans="1:14" x14ac:dyDescent="0.25">
      <c r="A170" s="3">
        <v>43465</v>
      </c>
      <c r="B170" s="26">
        <v>4075636</v>
      </c>
      <c r="C170" s="26">
        <v>4669.0029999999997</v>
      </c>
      <c r="D170" s="26">
        <v>2692594</v>
      </c>
      <c r="E170" s="26">
        <v>552084.30000000005</v>
      </c>
      <c r="F170" s="26">
        <v>37249.21</v>
      </c>
      <c r="H170" s="3">
        <f t="shared" si="14"/>
        <v>43465</v>
      </c>
      <c r="I170" s="26">
        <f t="shared" si="15"/>
        <v>4075636</v>
      </c>
      <c r="J170" s="26">
        <f t="shared" si="16"/>
        <v>5045791.5421000002</v>
      </c>
      <c r="K170" s="26">
        <f t="shared" si="17"/>
        <v>3471830.7036000001</v>
      </c>
      <c r="L170" s="26">
        <f t="shared" si="18"/>
        <v>4300736.6969999997</v>
      </c>
      <c r="M170" s="26">
        <f t="shared" si="19"/>
        <v>5728556.0059000002</v>
      </c>
      <c r="N170" s="65">
        <f t="shared" si="20"/>
        <v>22622550.948600002</v>
      </c>
    </row>
    <row r="171" spans="1:14" x14ac:dyDescent="0.25">
      <c r="A171" s="3">
        <v>43496</v>
      </c>
      <c r="B171" s="26">
        <v>4039678</v>
      </c>
      <c r="C171" s="26">
        <v>4708.8990000000003</v>
      </c>
      <c r="D171" s="26">
        <v>2664751</v>
      </c>
      <c r="E171" s="26">
        <v>556918</v>
      </c>
      <c r="F171" s="26">
        <v>36327.18</v>
      </c>
      <c r="H171" s="3">
        <f t="shared" si="14"/>
        <v>43496</v>
      </c>
      <c r="I171" s="26">
        <f t="shared" si="15"/>
        <v>4039678</v>
      </c>
      <c r="J171" s="26">
        <f t="shared" si="16"/>
        <v>5088907.1492999997</v>
      </c>
      <c r="K171" s="26">
        <f t="shared" si="17"/>
        <v>3435929.9394000005</v>
      </c>
      <c r="L171" s="26">
        <f t="shared" si="18"/>
        <v>4338391.22</v>
      </c>
      <c r="M171" s="26">
        <f t="shared" si="19"/>
        <v>5586757.0122000007</v>
      </c>
      <c r="N171" s="65">
        <f t="shared" si="20"/>
        <v>22489663.320900001</v>
      </c>
    </row>
    <row r="172" spans="1:14" x14ac:dyDescent="0.25">
      <c r="A172" s="3">
        <v>43524</v>
      </c>
      <c r="B172" s="26">
        <v>3974590</v>
      </c>
      <c r="C172" s="26">
        <v>4692.0619999999999</v>
      </c>
      <c r="D172" s="26">
        <v>2671556</v>
      </c>
      <c r="E172" s="26">
        <v>561926.30000000005</v>
      </c>
      <c r="F172" s="26">
        <v>35620.94</v>
      </c>
      <c r="H172" s="3">
        <f t="shared" si="14"/>
        <v>43524</v>
      </c>
      <c r="I172" s="26">
        <f t="shared" si="15"/>
        <v>3974590</v>
      </c>
      <c r="J172" s="26">
        <f t="shared" si="16"/>
        <v>5070711.4034000002</v>
      </c>
      <c r="K172" s="26">
        <f t="shared" si="17"/>
        <v>3444704.3064000001</v>
      </c>
      <c r="L172" s="26">
        <f t="shared" si="18"/>
        <v>4377405.8770000003</v>
      </c>
      <c r="M172" s="26">
        <f t="shared" si="19"/>
        <v>5478144.3626000006</v>
      </c>
      <c r="N172" s="65">
        <f t="shared" si="20"/>
        <v>22345555.9494</v>
      </c>
    </row>
    <row r="173" spans="1:14" x14ac:dyDescent="0.25">
      <c r="A173" s="3">
        <v>43553</v>
      </c>
      <c r="B173" s="26">
        <v>3955617</v>
      </c>
      <c r="C173" s="26">
        <v>4695.7849999999999</v>
      </c>
      <c r="D173" s="26">
        <v>2773648</v>
      </c>
      <c r="E173" s="26">
        <v>557034.4</v>
      </c>
      <c r="F173" s="26">
        <v>34855.26</v>
      </c>
      <c r="H173" s="3">
        <f t="shared" si="14"/>
        <v>43553</v>
      </c>
      <c r="I173" s="26">
        <f t="shared" si="15"/>
        <v>3955617</v>
      </c>
      <c r="J173" s="26">
        <f t="shared" si="16"/>
        <v>5074734.8494999995</v>
      </c>
      <c r="K173" s="26">
        <f t="shared" si="17"/>
        <v>3576341.7312000003</v>
      </c>
      <c r="L173" s="26">
        <f t="shared" si="18"/>
        <v>4339297.9759999998</v>
      </c>
      <c r="M173" s="26">
        <f t="shared" si="19"/>
        <v>5360390.4354000008</v>
      </c>
      <c r="N173" s="65">
        <f t="shared" si="20"/>
        <v>22306381.9921</v>
      </c>
    </row>
    <row r="174" spans="1:14" x14ac:dyDescent="0.25">
      <c r="A174" s="3">
        <v>43585</v>
      </c>
      <c r="B174" s="26">
        <v>3928273</v>
      </c>
      <c r="C174" s="26">
        <v>4697.616</v>
      </c>
      <c r="D174" s="26">
        <v>2756197</v>
      </c>
      <c r="E174" s="26">
        <v>562035.69999999995</v>
      </c>
      <c r="F174" s="26">
        <v>34859.24</v>
      </c>
      <c r="H174" s="3">
        <f t="shared" si="14"/>
        <v>43585</v>
      </c>
      <c r="I174" s="26">
        <f t="shared" si="15"/>
        <v>3928273</v>
      </c>
      <c r="J174" s="26">
        <f t="shared" si="16"/>
        <v>5076713.6112000002</v>
      </c>
      <c r="K174" s="26">
        <f t="shared" si="17"/>
        <v>3553840.4118000004</v>
      </c>
      <c r="L174" s="26">
        <f t="shared" si="18"/>
        <v>4378258.1030000001</v>
      </c>
      <c r="M174" s="26">
        <f t="shared" si="19"/>
        <v>5361002.5196000002</v>
      </c>
      <c r="N174" s="65">
        <f t="shared" si="20"/>
        <v>22298087.645600002</v>
      </c>
    </row>
    <row r="175" spans="1:14" x14ac:dyDescent="0.25">
      <c r="A175" s="3">
        <v>43616</v>
      </c>
      <c r="B175" s="26">
        <v>3851444</v>
      </c>
      <c r="C175" s="26">
        <v>4685.9610000000002</v>
      </c>
      <c r="D175" s="26">
        <v>2766426</v>
      </c>
      <c r="E175" s="26">
        <v>567156.5</v>
      </c>
      <c r="F175" s="26">
        <v>35901.47</v>
      </c>
      <c r="H175" s="3">
        <f t="shared" si="14"/>
        <v>43616</v>
      </c>
      <c r="I175" s="26">
        <f t="shared" si="15"/>
        <v>3851444</v>
      </c>
      <c r="J175" s="26">
        <f t="shared" si="16"/>
        <v>5064118.0526999999</v>
      </c>
      <c r="K175" s="26">
        <f t="shared" si="17"/>
        <v>3567029.6844000001</v>
      </c>
      <c r="L175" s="26">
        <f t="shared" si="18"/>
        <v>4418149.1349999998</v>
      </c>
      <c r="M175" s="26">
        <f t="shared" si="19"/>
        <v>5521287.0713</v>
      </c>
      <c r="N175" s="65">
        <f t="shared" si="20"/>
        <v>22422027.943399999</v>
      </c>
    </row>
    <row r="176" spans="1:14" x14ac:dyDescent="0.25">
      <c r="A176" s="3">
        <v>43644</v>
      </c>
      <c r="B176" s="26">
        <v>3826817</v>
      </c>
      <c r="C176" s="26">
        <v>4692.6139999999996</v>
      </c>
      <c r="D176" s="26">
        <v>2770843</v>
      </c>
      <c r="E176" s="26">
        <v>564866.5</v>
      </c>
      <c r="F176" s="26">
        <v>36359.53</v>
      </c>
      <c r="H176" s="3">
        <f t="shared" si="14"/>
        <v>43644</v>
      </c>
      <c r="I176" s="26">
        <f t="shared" si="15"/>
        <v>3826817</v>
      </c>
      <c r="J176" s="26">
        <f t="shared" si="16"/>
        <v>5071307.9497999996</v>
      </c>
      <c r="K176" s="26">
        <f t="shared" si="17"/>
        <v>3572724.9642000003</v>
      </c>
      <c r="L176" s="26">
        <f t="shared" si="18"/>
        <v>4400310.0350000001</v>
      </c>
      <c r="M176" s="26">
        <f t="shared" si="19"/>
        <v>5591732.1187000005</v>
      </c>
      <c r="N176" s="65">
        <f t="shared" si="20"/>
        <v>22462892.067700002</v>
      </c>
    </row>
    <row r="177" spans="1:21" x14ac:dyDescent="0.25">
      <c r="A177" s="3">
        <v>43677</v>
      </c>
      <c r="B177" s="26">
        <v>3779102</v>
      </c>
      <c r="C177" s="26">
        <v>4685.7160000000003</v>
      </c>
      <c r="D177" s="26">
        <v>2777103</v>
      </c>
      <c r="E177" s="26">
        <v>568314.19999999995</v>
      </c>
      <c r="F177" s="26">
        <v>35795.29</v>
      </c>
      <c r="H177" s="3">
        <f t="shared" si="14"/>
        <v>43677</v>
      </c>
      <c r="I177" s="26">
        <f t="shared" si="15"/>
        <v>3779102</v>
      </c>
      <c r="J177" s="26">
        <f t="shared" si="16"/>
        <v>5063853.2812000001</v>
      </c>
      <c r="K177" s="26">
        <f t="shared" si="17"/>
        <v>3580796.6082000001</v>
      </c>
      <c r="L177" s="26">
        <f t="shared" si="18"/>
        <v>4427167.6179999998</v>
      </c>
      <c r="M177" s="26">
        <f t="shared" si="19"/>
        <v>5504957.6491</v>
      </c>
      <c r="N177" s="65">
        <f t="shared" si="20"/>
        <v>22355877.156499997</v>
      </c>
    </row>
    <row r="178" spans="1:21" x14ac:dyDescent="0.25">
      <c r="A178" s="3">
        <v>43707</v>
      </c>
      <c r="B178" s="26">
        <v>3759946</v>
      </c>
      <c r="C178" s="26">
        <v>4683.7139999999999</v>
      </c>
      <c r="D178" s="26">
        <v>2791070</v>
      </c>
      <c r="E178" s="26">
        <v>572719.30000000005</v>
      </c>
      <c r="F178" s="26">
        <v>36035.29</v>
      </c>
      <c r="H178" s="3">
        <f t="shared" si="14"/>
        <v>43707</v>
      </c>
      <c r="I178" s="26">
        <f t="shared" si="15"/>
        <v>3759946</v>
      </c>
      <c r="J178" s="26">
        <f t="shared" si="16"/>
        <v>5061689.7198000001</v>
      </c>
      <c r="K178" s="26">
        <f t="shared" si="17"/>
        <v>3598805.6580000003</v>
      </c>
      <c r="L178" s="26">
        <f t="shared" si="18"/>
        <v>4461483.3470000001</v>
      </c>
      <c r="M178" s="26">
        <f t="shared" si="19"/>
        <v>5541867.2491000006</v>
      </c>
      <c r="N178" s="65">
        <f t="shared" si="20"/>
        <v>22423791.973899998</v>
      </c>
    </row>
    <row r="179" spans="1:21" x14ac:dyDescent="0.25">
      <c r="A179" s="3">
        <v>43738</v>
      </c>
      <c r="B179" s="26">
        <v>3857715</v>
      </c>
      <c r="C179" s="26">
        <v>4638.1040000000003</v>
      </c>
      <c r="D179" s="26">
        <v>2812716</v>
      </c>
      <c r="E179" s="26">
        <v>569758.30000000005</v>
      </c>
      <c r="F179" s="26">
        <v>36196.68</v>
      </c>
      <c r="H179" s="3">
        <f t="shared" si="14"/>
        <v>43738</v>
      </c>
      <c r="I179" s="26">
        <f t="shared" si="15"/>
        <v>3857715</v>
      </c>
      <c r="J179" s="26">
        <f t="shared" si="16"/>
        <v>5012398.9928000001</v>
      </c>
      <c r="K179" s="26">
        <f t="shared" si="17"/>
        <v>3626716.0104000005</v>
      </c>
      <c r="L179" s="26">
        <f t="shared" si="18"/>
        <v>4438417.1569999997</v>
      </c>
      <c r="M179" s="26">
        <f t="shared" si="19"/>
        <v>5566687.4172</v>
      </c>
      <c r="N179" s="65">
        <f t="shared" si="20"/>
        <v>22501934.577399999</v>
      </c>
    </row>
    <row r="180" spans="1:21" x14ac:dyDescent="0.25">
      <c r="A180" s="3">
        <v>43769</v>
      </c>
      <c r="B180" s="26">
        <v>4019823</v>
      </c>
      <c r="C180" s="26">
        <v>4680.875</v>
      </c>
      <c r="D180" s="26">
        <v>2797450</v>
      </c>
      <c r="E180" s="26">
        <v>575670.19999999995</v>
      </c>
      <c r="F180" s="26">
        <v>35964.050000000003</v>
      </c>
      <c r="H180" s="3">
        <f t="shared" si="14"/>
        <v>43769</v>
      </c>
      <c r="I180" s="26">
        <f t="shared" si="15"/>
        <v>4019823</v>
      </c>
      <c r="J180" s="26">
        <f t="shared" si="16"/>
        <v>5058621.6124999998</v>
      </c>
      <c r="K180" s="26">
        <f t="shared" si="17"/>
        <v>3607032.0300000003</v>
      </c>
      <c r="L180" s="26">
        <f t="shared" si="18"/>
        <v>4484470.858</v>
      </c>
      <c r="M180" s="26">
        <f t="shared" si="19"/>
        <v>5530911.2494999999</v>
      </c>
      <c r="N180" s="65">
        <f t="shared" si="20"/>
        <v>22700858.75</v>
      </c>
    </row>
    <row r="181" spans="1:21" x14ac:dyDescent="0.25">
      <c r="A181" s="3">
        <v>43798</v>
      </c>
      <c r="B181" s="26">
        <v>4052875</v>
      </c>
      <c r="C181" s="26">
        <v>4698.2910000000002</v>
      </c>
      <c r="D181" s="26">
        <v>2832142</v>
      </c>
      <c r="E181" s="26">
        <v>578532.19999999995</v>
      </c>
      <c r="F181" s="26">
        <v>36307.54</v>
      </c>
      <c r="H181" s="3">
        <f t="shared" si="14"/>
        <v>43798</v>
      </c>
      <c r="I181" s="26">
        <f t="shared" si="15"/>
        <v>4052875</v>
      </c>
      <c r="J181" s="26">
        <f t="shared" si="16"/>
        <v>5077443.0837000003</v>
      </c>
      <c r="K181" s="26">
        <f t="shared" si="17"/>
        <v>3651763.8948000004</v>
      </c>
      <c r="L181" s="26">
        <f t="shared" si="18"/>
        <v>4506765.8380000005</v>
      </c>
      <c r="M181" s="26">
        <f t="shared" si="19"/>
        <v>5583736.5766000003</v>
      </c>
      <c r="N181" s="65">
        <f t="shared" si="20"/>
        <v>22872584.393100001</v>
      </c>
    </row>
    <row r="182" spans="1:21" x14ac:dyDescent="0.25">
      <c r="A182" s="3">
        <v>43830</v>
      </c>
      <c r="B182" s="26">
        <v>4165591</v>
      </c>
      <c r="C182" s="26">
        <v>4691.9979999999996</v>
      </c>
      <c r="D182" s="26">
        <v>2825016</v>
      </c>
      <c r="E182" s="26">
        <v>573053.19999999995</v>
      </c>
      <c r="F182" s="26">
        <v>37113.050000000003</v>
      </c>
      <c r="H182" s="3">
        <f t="shared" si="14"/>
        <v>43830</v>
      </c>
      <c r="I182" s="26">
        <f t="shared" si="15"/>
        <v>4165591</v>
      </c>
      <c r="J182" s="26">
        <f t="shared" si="16"/>
        <v>5070642.2385999998</v>
      </c>
      <c r="K182" s="26">
        <f t="shared" si="17"/>
        <v>3642575.6304000001</v>
      </c>
      <c r="L182" s="26">
        <f t="shared" si="18"/>
        <v>4464084.4280000003</v>
      </c>
      <c r="M182" s="26">
        <f t="shared" si="19"/>
        <v>5707615.9595000008</v>
      </c>
      <c r="N182" s="65">
        <f t="shared" si="20"/>
        <v>23050509.256500002</v>
      </c>
    </row>
    <row r="183" spans="1:21" x14ac:dyDescent="0.25">
      <c r="A183" s="3">
        <v>43861</v>
      </c>
      <c r="B183" s="26">
        <v>4151630</v>
      </c>
      <c r="C183" s="26">
        <v>4671.3649999999998</v>
      </c>
      <c r="D183" s="26">
        <v>2839912</v>
      </c>
      <c r="E183" s="26">
        <v>578335.19999999995</v>
      </c>
      <c r="F183" s="26">
        <v>37349.51</v>
      </c>
      <c r="H183" s="3">
        <f t="shared" si="14"/>
        <v>43861</v>
      </c>
      <c r="I183" s="26">
        <f t="shared" si="15"/>
        <v>4151630</v>
      </c>
      <c r="J183" s="26">
        <f t="shared" si="16"/>
        <v>5048344.1555000003</v>
      </c>
      <c r="K183" s="26">
        <f t="shared" si="17"/>
        <v>3661782.5328000002</v>
      </c>
      <c r="L183" s="26">
        <f t="shared" si="18"/>
        <v>4505231.2079999996</v>
      </c>
      <c r="M183" s="26">
        <f t="shared" si="19"/>
        <v>5743981.1429000003</v>
      </c>
      <c r="N183" s="65">
        <f t="shared" si="20"/>
        <v>23110969.0392</v>
      </c>
    </row>
    <row r="184" spans="1:21" x14ac:dyDescent="0.25">
      <c r="A184" s="3">
        <v>43889</v>
      </c>
      <c r="B184" s="26">
        <v>4158637</v>
      </c>
      <c r="C184" s="26">
        <v>4691.8519999999999</v>
      </c>
      <c r="D184" s="26">
        <v>2879766</v>
      </c>
      <c r="E184" s="26">
        <v>584920.9</v>
      </c>
      <c r="F184" s="26">
        <v>36102.129999999997</v>
      </c>
      <c r="H184" s="3">
        <f t="shared" si="14"/>
        <v>43889</v>
      </c>
      <c r="I184" s="26">
        <f t="shared" si="15"/>
        <v>4158637</v>
      </c>
      <c r="J184" s="26">
        <f t="shared" si="16"/>
        <v>5070484.4563999996</v>
      </c>
      <c r="K184" s="26">
        <f t="shared" si="17"/>
        <v>3713170.2804000005</v>
      </c>
      <c r="L184" s="26">
        <f t="shared" si="18"/>
        <v>4556533.8109999998</v>
      </c>
      <c r="M184" s="26">
        <f t="shared" si="19"/>
        <v>5552146.5727000004</v>
      </c>
      <c r="N184" s="65">
        <f t="shared" si="20"/>
        <v>23050972.120500002</v>
      </c>
    </row>
    <row r="185" spans="1:21" x14ac:dyDescent="0.25">
      <c r="A185" s="3">
        <v>43921</v>
      </c>
      <c r="B185" s="26">
        <v>5254278</v>
      </c>
      <c r="C185" s="26">
        <v>5062.6869999999999</v>
      </c>
      <c r="D185" s="26">
        <v>2992653</v>
      </c>
      <c r="E185" s="26">
        <v>604432.6</v>
      </c>
      <c r="F185" s="26">
        <v>36537.480000000003</v>
      </c>
      <c r="H185" s="3">
        <f t="shared" si="14"/>
        <v>43921</v>
      </c>
      <c r="I185" s="26">
        <f t="shared" si="15"/>
        <v>5254278</v>
      </c>
      <c r="J185" s="26">
        <f t="shared" si="16"/>
        <v>5471245.8409000002</v>
      </c>
      <c r="K185" s="26">
        <f t="shared" si="17"/>
        <v>3858726.7782000005</v>
      </c>
      <c r="L185" s="26">
        <f t="shared" si="18"/>
        <v>4708529.9539999999</v>
      </c>
      <c r="M185" s="26">
        <f t="shared" si="19"/>
        <v>5619099.0492000002</v>
      </c>
      <c r="N185" s="65">
        <f t="shared" si="20"/>
        <v>24911879.622299999</v>
      </c>
    </row>
    <row r="186" spans="1:21" x14ac:dyDescent="0.25">
      <c r="A186" s="3">
        <v>43951</v>
      </c>
      <c r="B186" s="26">
        <v>6655929</v>
      </c>
      <c r="C186" s="26">
        <v>5347.0420000000004</v>
      </c>
      <c r="D186" s="26">
        <v>3039053</v>
      </c>
      <c r="E186" s="26">
        <v>619030.69999999995</v>
      </c>
      <c r="F186" s="26">
        <v>36034.769999999997</v>
      </c>
      <c r="H186" s="3">
        <f t="shared" si="14"/>
        <v>43951</v>
      </c>
      <c r="I186" s="26">
        <f t="shared" si="15"/>
        <v>6655929</v>
      </c>
      <c r="J186" s="26">
        <f t="shared" si="16"/>
        <v>5778548.2894000001</v>
      </c>
      <c r="K186" s="26">
        <f t="shared" si="17"/>
        <v>3918554.9382000002</v>
      </c>
      <c r="L186" s="26">
        <f t="shared" si="18"/>
        <v>4822249.1529999999</v>
      </c>
      <c r="M186" s="26">
        <f t="shared" si="19"/>
        <v>5541787.2783000004</v>
      </c>
      <c r="N186" s="65">
        <f t="shared" si="20"/>
        <v>26717068.6589</v>
      </c>
    </row>
    <row r="187" spans="1:21" x14ac:dyDescent="0.25">
      <c r="A187" s="3">
        <v>43980</v>
      </c>
      <c r="B187" s="26">
        <v>7097316</v>
      </c>
      <c r="C187" s="26">
        <v>5596.07</v>
      </c>
      <c r="D187" s="26">
        <v>3062607</v>
      </c>
      <c r="E187" s="26">
        <v>638592.19999999995</v>
      </c>
      <c r="F187" s="26">
        <v>36787.07</v>
      </c>
      <c r="H187" s="3">
        <f t="shared" si="14"/>
        <v>43980</v>
      </c>
      <c r="I187" s="26">
        <f t="shared" si="15"/>
        <v>7097316</v>
      </c>
      <c r="J187" s="26">
        <f t="shared" si="16"/>
        <v>6047672.8490000004</v>
      </c>
      <c r="K187" s="26">
        <f t="shared" si="17"/>
        <v>3948925.4658000004</v>
      </c>
      <c r="L187" s="26">
        <f t="shared" si="18"/>
        <v>4974633.2379999999</v>
      </c>
      <c r="M187" s="26">
        <f t="shared" si="19"/>
        <v>5657483.4953000005</v>
      </c>
      <c r="N187" s="65">
        <f t="shared" si="20"/>
        <v>27726031.048100002</v>
      </c>
    </row>
    <row r="188" spans="1:21" x14ac:dyDescent="0.25">
      <c r="A188" s="3">
        <v>44012</v>
      </c>
      <c r="B188" s="26">
        <v>7082302</v>
      </c>
      <c r="C188" s="26">
        <v>6236.143</v>
      </c>
      <c r="D188" s="26">
        <v>3018487</v>
      </c>
      <c r="E188" s="26">
        <v>648946.19999999995</v>
      </c>
      <c r="F188" s="26">
        <v>36393.129999999997</v>
      </c>
      <c r="H188" s="3">
        <f t="shared" si="14"/>
        <v>44012</v>
      </c>
      <c r="I188" s="26">
        <f t="shared" si="15"/>
        <v>7082302</v>
      </c>
      <c r="J188" s="26">
        <f t="shared" si="16"/>
        <v>6739399.7401000001</v>
      </c>
      <c r="K188" s="26">
        <f t="shared" si="17"/>
        <v>3892037.1378000001</v>
      </c>
      <c r="L188" s="26">
        <f t="shared" si="18"/>
        <v>5055290.898</v>
      </c>
      <c r="M188" s="26">
        <f t="shared" si="19"/>
        <v>5596899.4627</v>
      </c>
      <c r="N188" s="65">
        <f t="shared" si="20"/>
        <v>28365929.238600001</v>
      </c>
    </row>
    <row r="189" spans="1:21" x14ac:dyDescent="0.25">
      <c r="A189" s="3">
        <v>44043</v>
      </c>
      <c r="B189" s="26">
        <v>6949032</v>
      </c>
      <c r="C189" s="26">
        <v>6360.8220000000001</v>
      </c>
      <c r="D189" s="26">
        <v>3013959</v>
      </c>
      <c r="E189" s="26">
        <v>665885.30000000005</v>
      </c>
      <c r="F189" s="26">
        <v>35792.49</v>
      </c>
      <c r="H189" s="3">
        <f t="shared" si="14"/>
        <v>44043</v>
      </c>
      <c r="I189" s="26">
        <f t="shared" si="15"/>
        <v>6949032</v>
      </c>
      <c r="J189" s="26">
        <f t="shared" si="16"/>
        <v>6874140.3354000002</v>
      </c>
      <c r="K189" s="26">
        <f t="shared" si="17"/>
        <v>3886198.7346000001</v>
      </c>
      <c r="L189" s="26">
        <f t="shared" si="18"/>
        <v>5187246.4869999997</v>
      </c>
      <c r="M189" s="26">
        <f t="shared" si="19"/>
        <v>5504527.0371000003</v>
      </c>
      <c r="N189" s="65">
        <f t="shared" si="20"/>
        <v>28401144.594099998</v>
      </c>
    </row>
    <row r="190" spans="1:21" x14ac:dyDescent="0.25">
      <c r="A190" s="3">
        <v>44074</v>
      </c>
      <c r="B190" s="26">
        <v>6990418</v>
      </c>
      <c r="C190" s="26">
        <v>6440.2370000000001</v>
      </c>
      <c r="D190" s="26">
        <v>3018461</v>
      </c>
      <c r="E190" s="26">
        <v>682899</v>
      </c>
      <c r="F190" s="26">
        <v>36505.230000000003</v>
      </c>
      <c r="H190" s="3">
        <f t="shared" si="14"/>
        <v>44074</v>
      </c>
      <c r="I190" s="26">
        <f t="shared" si="15"/>
        <v>6990418</v>
      </c>
      <c r="J190" s="26">
        <f t="shared" si="16"/>
        <v>6959964.1259000003</v>
      </c>
      <c r="K190" s="26">
        <f t="shared" si="17"/>
        <v>3892003.6134000001</v>
      </c>
      <c r="L190" s="26">
        <f t="shared" si="18"/>
        <v>5319783.21</v>
      </c>
      <c r="M190" s="26">
        <f t="shared" si="19"/>
        <v>5614139.3217000002</v>
      </c>
      <c r="N190" s="65">
        <f t="shared" si="20"/>
        <v>28776308.271000002</v>
      </c>
    </row>
    <row r="191" spans="1:21" x14ac:dyDescent="0.25">
      <c r="A191" s="3">
        <v>44104</v>
      </c>
      <c r="B191" s="26">
        <v>7056129</v>
      </c>
      <c r="C191" s="26">
        <v>6534.8149999999996</v>
      </c>
      <c r="D191" s="26">
        <v>3040032</v>
      </c>
      <c r="E191" s="26">
        <v>689993.2</v>
      </c>
      <c r="F191" s="26">
        <v>37472.769999999997</v>
      </c>
      <c r="H191" s="3">
        <f t="shared" si="14"/>
        <v>44104</v>
      </c>
      <c r="I191" s="26">
        <f t="shared" si="15"/>
        <v>7056129</v>
      </c>
      <c r="J191" s="26">
        <f t="shared" si="16"/>
        <v>7062174.5705000004</v>
      </c>
      <c r="K191" s="26">
        <f t="shared" si="17"/>
        <v>3919817.2608000003</v>
      </c>
      <c r="L191" s="26">
        <f t="shared" si="18"/>
        <v>5375047.0279999999</v>
      </c>
      <c r="M191" s="26">
        <f t="shared" si="19"/>
        <v>5762937.2983000008</v>
      </c>
      <c r="N191" s="65">
        <f t="shared" si="20"/>
        <v>29176105.157600004</v>
      </c>
      <c r="P191" s="11" t="str">
        <f>+I4</f>
        <v>FED</v>
      </c>
      <c r="Q191" s="11" t="str">
        <f>+J4</f>
        <v>ECB</v>
      </c>
      <c r="R191" s="11" t="str">
        <f>+K4</f>
        <v>BOE</v>
      </c>
      <c r="S191" s="11" t="str">
        <f>+L4</f>
        <v>BOJ</v>
      </c>
      <c r="T191" s="11" t="str">
        <f>+M4</f>
        <v>PBOC</v>
      </c>
      <c r="U191" s="31" t="s">
        <v>479</v>
      </c>
    </row>
    <row r="192" spans="1:21" x14ac:dyDescent="0.25">
      <c r="A192" s="3">
        <v>44134</v>
      </c>
      <c r="B192" s="26">
        <v>7146306</v>
      </c>
      <c r="C192" s="26">
        <v>6775.7629999999999</v>
      </c>
      <c r="D192" s="26">
        <v>3015105</v>
      </c>
      <c r="E192" s="26">
        <v>698230.9</v>
      </c>
      <c r="F192" s="26">
        <v>37181.269999999997</v>
      </c>
      <c r="H192" s="3">
        <f t="shared" si="14"/>
        <v>44134</v>
      </c>
      <c r="I192" s="26">
        <f t="shared" si="15"/>
        <v>7146306</v>
      </c>
      <c r="J192" s="26">
        <f t="shared" si="16"/>
        <v>7322567.0740999999</v>
      </c>
      <c r="K192" s="26">
        <f t="shared" si="17"/>
        <v>3887676.3870000001</v>
      </c>
      <c r="L192" s="26">
        <f t="shared" si="18"/>
        <v>5439218.7110000001</v>
      </c>
      <c r="M192" s="26">
        <f t="shared" si="19"/>
        <v>5718107.5133000007</v>
      </c>
      <c r="N192" s="65">
        <f t="shared" si="20"/>
        <v>29513875.685399998</v>
      </c>
      <c r="P192" s="26">
        <f>+AVERAGE(I190:I192)-AVERAGE(I189:I191)</f>
        <v>65758</v>
      </c>
      <c r="Q192" s="26">
        <f t="shared" ref="Q192:T207" si="21">+AVERAGE(J190:J192)-AVERAGE(J189:J191)</f>
        <v>149475.57956666686</v>
      </c>
      <c r="R192" s="26">
        <f t="shared" si="21"/>
        <v>492.55079999938607</v>
      </c>
      <c r="S192" s="26">
        <f t="shared" si="21"/>
        <v>83990.741333333775</v>
      </c>
      <c r="T192" s="26">
        <f t="shared" si="21"/>
        <v>71193.492066666484</v>
      </c>
      <c r="U192" s="66">
        <f t="shared" ref="U192:U210" si="22">+N192-N191</f>
        <v>337770.52779999375</v>
      </c>
    </row>
    <row r="193" spans="1:21" x14ac:dyDescent="0.25">
      <c r="A193" s="3">
        <v>44165</v>
      </c>
      <c r="B193" s="26">
        <v>7216480</v>
      </c>
      <c r="C193" s="26">
        <v>6883.402</v>
      </c>
      <c r="D193" s="26">
        <v>2999254</v>
      </c>
      <c r="E193" s="26">
        <v>705304.8</v>
      </c>
      <c r="F193" s="26">
        <v>38198.93</v>
      </c>
      <c r="H193" s="3">
        <f t="shared" si="14"/>
        <v>44165</v>
      </c>
      <c r="I193" s="26">
        <f t="shared" si="15"/>
        <v>7216480</v>
      </c>
      <c r="J193" s="26">
        <f t="shared" si="16"/>
        <v>7438892.5413999995</v>
      </c>
      <c r="K193" s="26">
        <f t="shared" si="17"/>
        <v>3867238.1076000002</v>
      </c>
      <c r="L193" s="26">
        <f t="shared" si="18"/>
        <v>5494324.392</v>
      </c>
      <c r="M193" s="26">
        <f t="shared" si="19"/>
        <v>5874613.4447000008</v>
      </c>
      <c r="N193" s="65">
        <f t="shared" si="20"/>
        <v>29891548.485700004</v>
      </c>
      <c r="P193" s="26">
        <f t="shared" ref="P193:P210" si="23">+AVERAGE(I191:I193)-AVERAGE(I190:I192)</f>
        <v>75354</v>
      </c>
      <c r="Q193" s="26">
        <f t="shared" si="21"/>
        <v>159642.8051666664</v>
      </c>
      <c r="R193" s="26">
        <f t="shared" si="21"/>
        <v>-8255.1685999995098</v>
      </c>
      <c r="S193" s="26">
        <f t="shared" si="21"/>
        <v>58180.393999999389</v>
      </c>
      <c r="T193" s="26">
        <f t="shared" si="21"/>
        <v>86824.707666666247</v>
      </c>
      <c r="U193" s="66">
        <f t="shared" si="22"/>
        <v>377672.80030000582</v>
      </c>
    </row>
    <row r="194" spans="1:21" x14ac:dyDescent="0.25">
      <c r="A194" s="3">
        <v>44196</v>
      </c>
      <c r="B194" s="26">
        <v>7363351</v>
      </c>
      <c r="C194" s="26">
        <v>7014.6610000000001</v>
      </c>
      <c r="D194" s="26">
        <v>2969118</v>
      </c>
      <c r="E194" s="26">
        <v>702582.2</v>
      </c>
      <c r="F194" s="26">
        <v>38767.550000000003</v>
      </c>
      <c r="H194" s="3">
        <f t="shared" si="14"/>
        <v>44196</v>
      </c>
      <c r="I194" s="26">
        <f t="shared" si="15"/>
        <v>7363351</v>
      </c>
      <c r="J194" s="26">
        <f t="shared" si="16"/>
        <v>7580744.1426999997</v>
      </c>
      <c r="K194" s="26">
        <f t="shared" si="17"/>
        <v>3828380.7492000004</v>
      </c>
      <c r="L194" s="26">
        <f t="shared" si="18"/>
        <v>5473115.3380000005</v>
      </c>
      <c r="M194" s="26">
        <f t="shared" si="19"/>
        <v>5962061.5145000005</v>
      </c>
      <c r="N194" s="65">
        <f t="shared" si="20"/>
        <v>30207652.744399998</v>
      </c>
      <c r="P194" s="26">
        <f t="shared" si="23"/>
        <v>102407.33333333395</v>
      </c>
      <c r="Q194" s="26">
        <f t="shared" si="21"/>
        <v>172856.52406666521</v>
      </c>
      <c r="R194" s="26">
        <f t="shared" si="21"/>
        <v>-30478.837200000416</v>
      </c>
      <c r="S194" s="26">
        <f t="shared" si="21"/>
        <v>32689.43666666653</v>
      </c>
      <c r="T194" s="26">
        <f t="shared" si="21"/>
        <v>66374.738733332604</v>
      </c>
      <c r="U194" s="66">
        <f t="shared" si="22"/>
        <v>316104.25869999453</v>
      </c>
    </row>
    <row r="195" spans="1:21" x14ac:dyDescent="0.25">
      <c r="A195" s="3">
        <v>44225</v>
      </c>
      <c r="B195" s="26">
        <v>7404926</v>
      </c>
      <c r="C195" s="26">
        <v>7033.2560000000003</v>
      </c>
      <c r="D195" s="26">
        <v>2977611</v>
      </c>
      <c r="E195" s="26">
        <v>709493.5</v>
      </c>
      <c r="F195" s="26">
        <v>38913.15</v>
      </c>
      <c r="H195" s="3">
        <f t="shared" si="14"/>
        <v>44225</v>
      </c>
      <c r="I195" s="26">
        <f t="shared" si="15"/>
        <v>7404926</v>
      </c>
      <c r="J195" s="26">
        <f t="shared" si="16"/>
        <v>7600839.7592000002</v>
      </c>
      <c r="K195" s="26">
        <f t="shared" si="17"/>
        <v>3839331.6234000004</v>
      </c>
      <c r="L195" s="26">
        <f t="shared" si="18"/>
        <v>5526954.3650000002</v>
      </c>
      <c r="M195" s="26">
        <f t="shared" si="19"/>
        <v>5984453.3385000005</v>
      </c>
      <c r="N195" s="65">
        <f t="shared" si="20"/>
        <v>30356505.086099997</v>
      </c>
      <c r="P195" s="26">
        <f t="shared" si="23"/>
        <v>86206.666666666046</v>
      </c>
      <c r="Q195" s="26">
        <f t="shared" si="21"/>
        <v>92757.561700000428</v>
      </c>
      <c r="R195" s="26">
        <f t="shared" si="21"/>
        <v>-16114.921199999284</v>
      </c>
      <c r="S195" s="26">
        <f t="shared" si="21"/>
        <v>29245.218000000343</v>
      </c>
      <c r="T195" s="26">
        <f t="shared" si="21"/>
        <v>88781.941733334213</v>
      </c>
      <c r="U195" s="66">
        <f t="shared" si="22"/>
        <v>148852.34169999883</v>
      </c>
    </row>
    <row r="196" spans="1:21" x14ac:dyDescent="0.25">
      <c r="A196" s="3">
        <v>44253</v>
      </c>
      <c r="B196" s="26">
        <v>7590111</v>
      </c>
      <c r="C196" s="26">
        <v>7110.4870000000001</v>
      </c>
      <c r="D196" s="26">
        <v>2979264</v>
      </c>
      <c r="E196" s="26">
        <v>712602.1</v>
      </c>
      <c r="F196" s="26">
        <v>38309.32</v>
      </c>
      <c r="H196" s="3">
        <f t="shared" si="14"/>
        <v>44253</v>
      </c>
      <c r="I196" s="26">
        <f t="shared" si="15"/>
        <v>7590111</v>
      </c>
      <c r="J196" s="26">
        <f t="shared" si="16"/>
        <v>7684303.3009000001</v>
      </c>
      <c r="K196" s="26">
        <f t="shared" si="17"/>
        <v>3841463.0016000001</v>
      </c>
      <c r="L196" s="26">
        <f t="shared" si="18"/>
        <v>5551170.3590000002</v>
      </c>
      <c r="M196" s="26">
        <f t="shared" si="19"/>
        <v>5891590.3228000002</v>
      </c>
      <c r="N196" s="65">
        <f t="shared" si="20"/>
        <v>30558637.984300002</v>
      </c>
      <c r="P196" s="26">
        <f t="shared" si="23"/>
        <v>124543.66666666698</v>
      </c>
      <c r="Q196" s="26">
        <f t="shared" si="21"/>
        <v>81803.58650000114</v>
      </c>
      <c r="R196" s="26">
        <f t="shared" si="21"/>
        <v>-8591.7020000000484</v>
      </c>
      <c r="S196" s="26">
        <f t="shared" si="21"/>
        <v>18948.655666667037</v>
      </c>
      <c r="T196" s="26">
        <f t="shared" si="21"/>
        <v>5658.9593666661531</v>
      </c>
      <c r="U196" s="66">
        <f t="shared" si="22"/>
        <v>202132.89820000529</v>
      </c>
    </row>
    <row r="197" spans="1:21" x14ac:dyDescent="0.25">
      <c r="A197" s="3">
        <v>44286</v>
      </c>
      <c r="B197" s="26">
        <v>7688988</v>
      </c>
      <c r="C197" s="26">
        <v>7505.0209999999997</v>
      </c>
      <c r="D197" s="26">
        <v>2974679</v>
      </c>
      <c r="E197" s="26">
        <v>714229.9</v>
      </c>
      <c r="F197" s="26">
        <v>38277.279999999999</v>
      </c>
      <c r="H197" s="3">
        <f t="shared" si="14"/>
        <v>44286</v>
      </c>
      <c r="I197" s="26">
        <f t="shared" si="15"/>
        <v>7688988</v>
      </c>
      <c r="J197" s="26">
        <f t="shared" si="16"/>
        <v>8110676.1946999999</v>
      </c>
      <c r="K197" s="26">
        <f t="shared" si="17"/>
        <v>3835551.1026000003</v>
      </c>
      <c r="L197" s="26">
        <f t="shared" si="18"/>
        <v>5563850.9210000001</v>
      </c>
      <c r="M197" s="26">
        <f t="shared" si="19"/>
        <v>5886662.8912000004</v>
      </c>
      <c r="N197" s="65">
        <f t="shared" si="20"/>
        <v>31085729.109499998</v>
      </c>
      <c r="P197" s="26">
        <f t="shared" si="23"/>
        <v>108545.66666666698</v>
      </c>
      <c r="Q197" s="26">
        <f t="shared" si="21"/>
        <v>176644.01733333245</v>
      </c>
      <c r="R197" s="26">
        <f t="shared" si="21"/>
        <v>2390.117799999658</v>
      </c>
      <c r="S197" s="26">
        <f t="shared" si="21"/>
        <v>30245.194333332591</v>
      </c>
      <c r="T197" s="26">
        <f t="shared" si="21"/>
        <v>-25132.874433333054</v>
      </c>
      <c r="U197" s="66">
        <f t="shared" si="22"/>
        <v>527091.12519999593</v>
      </c>
    </row>
    <row r="198" spans="1:21" x14ac:dyDescent="0.25">
      <c r="A198" s="3">
        <v>44316</v>
      </c>
      <c r="B198" s="26">
        <v>7780962</v>
      </c>
      <c r="C198" s="26">
        <v>7567.9449999999997</v>
      </c>
      <c r="D198" s="26">
        <v>3008488</v>
      </c>
      <c r="E198" s="26">
        <v>720231.7</v>
      </c>
      <c r="F198" s="26">
        <v>38231.550000000003</v>
      </c>
      <c r="H198" s="3">
        <f t="shared" si="14"/>
        <v>44316</v>
      </c>
      <c r="I198" s="26">
        <f t="shared" si="15"/>
        <v>7780962</v>
      </c>
      <c r="J198" s="26">
        <f t="shared" si="16"/>
        <v>8178678.1615000004</v>
      </c>
      <c r="K198" s="26">
        <f t="shared" si="17"/>
        <v>3879144.4272000003</v>
      </c>
      <c r="L198" s="26">
        <f t="shared" si="18"/>
        <v>5610604.943</v>
      </c>
      <c r="M198" s="26">
        <f t="shared" si="19"/>
        <v>5879630.0745000001</v>
      </c>
      <c r="N198" s="65">
        <f t="shared" si="20"/>
        <v>31329019.606200002</v>
      </c>
      <c r="P198" s="26">
        <f t="shared" si="23"/>
        <v>125345.33333333302</v>
      </c>
      <c r="Q198" s="26">
        <f t="shared" si="21"/>
        <v>192612.80076666735</v>
      </c>
      <c r="R198" s="26">
        <f t="shared" si="21"/>
        <v>13270.93460000027</v>
      </c>
      <c r="S198" s="26">
        <f t="shared" si="21"/>
        <v>27883.526000000536</v>
      </c>
      <c r="T198" s="26">
        <f t="shared" si="21"/>
        <v>-34941.087999999523</v>
      </c>
      <c r="U198" s="66">
        <f t="shared" si="22"/>
        <v>243290.49670000374</v>
      </c>
    </row>
    <row r="199" spans="1:21" x14ac:dyDescent="0.25">
      <c r="A199" s="3">
        <v>44347</v>
      </c>
      <c r="B199" s="26">
        <v>7903541</v>
      </c>
      <c r="C199" s="26">
        <v>7657.6289999999999</v>
      </c>
      <c r="D199" s="26">
        <v>3049716</v>
      </c>
      <c r="E199" s="26">
        <v>724640.9</v>
      </c>
      <c r="F199" s="26">
        <v>38691.68</v>
      </c>
      <c r="H199" s="3">
        <f t="shared" si="14"/>
        <v>44347</v>
      </c>
      <c r="I199" s="26">
        <f t="shared" si="15"/>
        <v>7903541</v>
      </c>
      <c r="J199" s="26">
        <f t="shared" si="16"/>
        <v>8275599.6602999996</v>
      </c>
      <c r="K199" s="26">
        <f t="shared" si="17"/>
        <v>3932303.8104000003</v>
      </c>
      <c r="L199" s="26">
        <f t="shared" si="18"/>
        <v>5644952.6110000005</v>
      </c>
      <c r="M199" s="26">
        <f t="shared" si="19"/>
        <v>5950393.4672000008</v>
      </c>
      <c r="N199" s="65">
        <f t="shared" si="20"/>
        <v>31706790.548900001</v>
      </c>
      <c r="P199" s="26">
        <f t="shared" si="23"/>
        <v>104476.66666666698</v>
      </c>
      <c r="Q199" s="26">
        <f t="shared" si="21"/>
        <v>197098.7864666665</v>
      </c>
      <c r="R199" s="26">
        <f t="shared" si="21"/>
        <v>30280.269600000232</v>
      </c>
      <c r="S199" s="26">
        <f t="shared" si="21"/>
        <v>31260.750666666776</v>
      </c>
      <c r="T199" s="26">
        <f t="shared" si="21"/>
        <v>19601.048133332282</v>
      </c>
      <c r="U199" s="66">
        <f t="shared" si="22"/>
        <v>377770.94269999862</v>
      </c>
    </row>
    <row r="200" spans="1:21" x14ac:dyDescent="0.25">
      <c r="A200" s="3">
        <v>44377</v>
      </c>
      <c r="B200" s="26">
        <v>8078544</v>
      </c>
      <c r="C200" s="26">
        <v>7877.1270000000004</v>
      </c>
      <c r="D200" s="26">
        <v>3053668</v>
      </c>
      <c r="E200" s="26">
        <v>716900.6</v>
      </c>
      <c r="F200" s="26">
        <v>38989.74</v>
      </c>
      <c r="H200" s="3">
        <f t="shared" ref="H200:H210" si="24">+A200</f>
        <v>44377</v>
      </c>
      <c r="I200" s="26">
        <f t="shared" ref="I200:I210" si="25">+B200</f>
        <v>8078544</v>
      </c>
      <c r="J200" s="26">
        <f t="shared" ref="J200:J210" si="26">+C200*1000*C$3</f>
        <v>8512811.1489000004</v>
      </c>
      <c r="K200" s="26">
        <f t="shared" ref="K200:K210" si="27">+IFERROR(D200*D$3,"")</f>
        <v>3937399.5192000004</v>
      </c>
      <c r="L200" s="26">
        <f t="shared" ref="L200:L210" si="28">+E200*1000*E$3</f>
        <v>5584655.6739999996</v>
      </c>
      <c r="M200" s="26">
        <f t="shared" ref="M200:M210" si="29">+F200*1000*F$3</f>
        <v>5996232.1146</v>
      </c>
      <c r="N200" s="65">
        <f t="shared" ref="N200:N210" si="30">+SUM(I200:M200)</f>
        <v>32109642.456699997</v>
      </c>
      <c r="P200" s="26">
        <f t="shared" si="23"/>
        <v>129852</v>
      </c>
      <c r="Q200" s="26">
        <f t="shared" si="21"/>
        <v>134044.98473333474</v>
      </c>
      <c r="R200" s="26">
        <f t="shared" si="21"/>
        <v>33949.472199999727</v>
      </c>
      <c r="S200" s="26">
        <f t="shared" si="21"/>
        <v>6934.9176666662097</v>
      </c>
      <c r="T200" s="26">
        <f t="shared" si="21"/>
        <v>36523.074466667138</v>
      </c>
      <c r="U200" s="66">
        <f t="shared" si="22"/>
        <v>402851.90779999644</v>
      </c>
    </row>
    <row r="201" spans="1:21" x14ac:dyDescent="0.25">
      <c r="A201" s="3">
        <v>44407</v>
      </c>
      <c r="B201" s="26">
        <v>8221473</v>
      </c>
      <c r="C201" s="26">
        <v>7987.3639999999996</v>
      </c>
      <c r="D201" s="26">
        <v>3059835</v>
      </c>
      <c r="E201" s="26">
        <v>722942.9</v>
      </c>
      <c r="F201" s="26">
        <v>38050.160000000003</v>
      </c>
      <c r="H201" s="3">
        <f t="shared" si="24"/>
        <v>44407</v>
      </c>
      <c r="I201" s="26">
        <f t="shared" si="25"/>
        <v>8221473</v>
      </c>
      <c r="J201" s="26">
        <f t="shared" si="26"/>
        <v>8631944.2748000007</v>
      </c>
      <c r="K201" s="26">
        <f t="shared" si="27"/>
        <v>3945351.2490000003</v>
      </c>
      <c r="L201" s="26">
        <f t="shared" si="28"/>
        <v>5631725.1909999996</v>
      </c>
      <c r="M201" s="26">
        <f t="shared" si="29"/>
        <v>5851734.1063999999</v>
      </c>
      <c r="N201" s="65">
        <f t="shared" si="30"/>
        <v>32282227.821200006</v>
      </c>
      <c r="P201" s="26">
        <f t="shared" si="23"/>
        <v>146837</v>
      </c>
      <c r="Q201" s="26">
        <f t="shared" si="21"/>
        <v>151088.7044333322</v>
      </c>
      <c r="R201" s="26">
        <f t="shared" si="21"/>
        <v>22068.940599999856</v>
      </c>
      <c r="S201" s="26">
        <f t="shared" si="21"/>
        <v>7040.082666666247</v>
      </c>
      <c r="T201" s="26">
        <f t="shared" si="21"/>
        <v>-9298.656033333391</v>
      </c>
      <c r="U201" s="66">
        <f t="shared" si="22"/>
        <v>172585.36450000852</v>
      </c>
    </row>
    <row r="202" spans="1:21" x14ac:dyDescent="0.25">
      <c r="A202" s="3">
        <v>44439</v>
      </c>
      <c r="B202" s="26">
        <v>8332743</v>
      </c>
      <c r="C202" s="26">
        <v>8191.3119999999999</v>
      </c>
      <c r="D202" s="26">
        <v>3085620</v>
      </c>
      <c r="E202" s="26">
        <v>726710.3</v>
      </c>
      <c r="F202" s="26">
        <v>37948.75</v>
      </c>
      <c r="H202" s="3">
        <f t="shared" si="24"/>
        <v>44439</v>
      </c>
      <c r="I202" s="26">
        <f t="shared" si="25"/>
        <v>8332743</v>
      </c>
      <c r="J202" s="26">
        <f t="shared" si="26"/>
        <v>8852350.8783999998</v>
      </c>
      <c r="K202" s="26">
        <f t="shared" si="27"/>
        <v>3978598.4280000003</v>
      </c>
      <c r="L202" s="26">
        <f t="shared" si="28"/>
        <v>5661073.2369999997</v>
      </c>
      <c r="M202" s="26">
        <f t="shared" si="29"/>
        <v>5836138.2625000002</v>
      </c>
      <c r="N202" s="65">
        <f t="shared" si="30"/>
        <v>32660903.805899996</v>
      </c>
      <c r="P202" s="26">
        <f t="shared" si="23"/>
        <v>143067.33333333302</v>
      </c>
      <c r="Q202" s="26">
        <f t="shared" si="21"/>
        <v>192250.40603333339</v>
      </c>
      <c r="R202" s="26">
        <f t="shared" si="21"/>
        <v>15431.539200000465</v>
      </c>
      <c r="S202" s="26">
        <f t="shared" si="21"/>
        <v>5373.5419999994338</v>
      </c>
      <c r="T202" s="26">
        <f t="shared" si="21"/>
        <v>-38085.068233333528</v>
      </c>
      <c r="U202" s="66">
        <f t="shared" si="22"/>
        <v>378675.9846999906</v>
      </c>
    </row>
    <row r="203" spans="1:21" x14ac:dyDescent="0.25">
      <c r="A203" s="3">
        <v>44469</v>
      </c>
      <c r="B203" s="26">
        <v>8447981</v>
      </c>
      <c r="C203" s="26">
        <v>8273.2070000000003</v>
      </c>
      <c r="D203" s="26">
        <v>3097787</v>
      </c>
      <c r="E203" s="26">
        <v>723730.1</v>
      </c>
      <c r="F203" s="26">
        <v>39197.370000000003</v>
      </c>
      <c r="H203" s="3">
        <f t="shared" si="24"/>
        <v>44469</v>
      </c>
      <c r="I203" s="26">
        <f t="shared" si="25"/>
        <v>8447981</v>
      </c>
      <c r="J203" s="26">
        <f t="shared" si="26"/>
        <v>8940854.8048999999</v>
      </c>
      <c r="K203" s="26">
        <f t="shared" si="27"/>
        <v>3994286.5578000005</v>
      </c>
      <c r="L203" s="26">
        <f t="shared" si="28"/>
        <v>5637857.4790000003</v>
      </c>
      <c r="M203" s="26">
        <f t="shared" si="29"/>
        <v>6028163.5323000001</v>
      </c>
      <c r="N203" s="65">
        <f t="shared" si="30"/>
        <v>33049143.374000002</v>
      </c>
      <c r="P203" s="26">
        <f t="shared" si="23"/>
        <v>123145.66666666698</v>
      </c>
      <c r="Q203" s="26">
        <f t="shared" si="21"/>
        <v>142681.21866666526</v>
      </c>
      <c r="R203" s="26">
        <f t="shared" si="21"/>
        <v>18962.346200000029</v>
      </c>
      <c r="S203" s="26">
        <f t="shared" si="21"/>
        <v>17733.935000000522</v>
      </c>
      <c r="T203" s="26">
        <f t="shared" si="21"/>
        <v>10643.805900000036</v>
      </c>
      <c r="U203" s="66">
        <f t="shared" si="22"/>
        <v>388239.56810000539</v>
      </c>
    </row>
    <row r="204" spans="1:21" x14ac:dyDescent="0.25">
      <c r="A204" s="3">
        <v>44498</v>
      </c>
      <c r="B204" s="26">
        <v>8556181</v>
      </c>
      <c r="C204" s="26">
        <v>8366.0709999999999</v>
      </c>
      <c r="D204" s="26">
        <v>3116887</v>
      </c>
      <c r="E204" s="26">
        <v>725188.7</v>
      </c>
      <c r="F204" s="26">
        <v>39491.93</v>
      </c>
      <c r="H204" s="3">
        <f t="shared" si="24"/>
        <v>44498</v>
      </c>
      <c r="I204" s="26">
        <f t="shared" si="25"/>
        <v>8556181</v>
      </c>
      <c r="J204" s="26">
        <f t="shared" si="26"/>
        <v>9041212.9297000002</v>
      </c>
      <c r="K204" s="26">
        <f t="shared" si="27"/>
        <v>4018914.0978000001</v>
      </c>
      <c r="L204" s="26">
        <f t="shared" si="28"/>
        <v>5649219.9730000002</v>
      </c>
      <c r="M204" s="26">
        <f t="shared" si="29"/>
        <v>6073463.9147000005</v>
      </c>
      <c r="N204" s="65">
        <f t="shared" si="30"/>
        <v>33338991.915200006</v>
      </c>
      <c r="P204" s="26">
        <f t="shared" si="23"/>
        <v>111569.33333333302</v>
      </c>
      <c r="Q204" s="26">
        <f t="shared" si="21"/>
        <v>136422.88496666774</v>
      </c>
      <c r="R204" s="26">
        <f t="shared" si="21"/>
        <v>24520.949599999934</v>
      </c>
      <c r="S204" s="26">
        <f t="shared" si="21"/>
        <v>5831.5940000005066</v>
      </c>
      <c r="T204" s="26">
        <f t="shared" si="21"/>
        <v>73909.936099999584</v>
      </c>
      <c r="U204" s="66">
        <f t="shared" si="22"/>
        <v>289848.54120000452</v>
      </c>
    </row>
    <row r="205" spans="1:21" x14ac:dyDescent="0.25">
      <c r="A205" s="3">
        <v>44530</v>
      </c>
      <c r="B205" s="26">
        <v>8681771</v>
      </c>
      <c r="C205" s="26">
        <v>8456.991</v>
      </c>
      <c r="D205" s="26">
        <v>3148156</v>
      </c>
      <c r="E205" s="26">
        <v>728218.7</v>
      </c>
      <c r="F205" s="26">
        <v>39311.43</v>
      </c>
      <c r="H205" s="3">
        <f t="shared" si="24"/>
        <v>44530</v>
      </c>
      <c r="I205" s="26">
        <f t="shared" si="25"/>
        <v>8681771</v>
      </c>
      <c r="J205" s="26">
        <f t="shared" si="26"/>
        <v>9139470.1736999992</v>
      </c>
      <c r="K205" s="26">
        <f t="shared" si="27"/>
        <v>4059232.3464000002</v>
      </c>
      <c r="L205" s="26">
        <f t="shared" si="28"/>
        <v>5672823.6730000004</v>
      </c>
      <c r="M205" s="26">
        <f t="shared" si="29"/>
        <v>6045704.8197000008</v>
      </c>
      <c r="N205" s="65">
        <f t="shared" si="30"/>
        <v>33599002.012800001</v>
      </c>
      <c r="P205" s="26">
        <f t="shared" si="23"/>
        <v>116342.66666666605</v>
      </c>
      <c r="Q205" s="26">
        <f t="shared" si="21"/>
        <v>95706.431766666472</v>
      </c>
      <c r="R205" s="26">
        <f t="shared" si="21"/>
        <v>26877.972799999639</v>
      </c>
      <c r="S205" s="26">
        <f t="shared" si="21"/>
        <v>3916.811999999918</v>
      </c>
      <c r="T205" s="26">
        <f t="shared" si="21"/>
        <v>69855.519066667184</v>
      </c>
      <c r="U205" s="66">
        <f t="shared" si="22"/>
        <v>260010.09759999439</v>
      </c>
    </row>
    <row r="206" spans="1:21" x14ac:dyDescent="0.25">
      <c r="A206" s="3">
        <v>44561</v>
      </c>
      <c r="B206" s="26">
        <v>8757460</v>
      </c>
      <c r="C206" s="26">
        <v>8566.3719999999994</v>
      </c>
      <c r="D206" s="26">
        <v>3132830</v>
      </c>
      <c r="E206" s="26">
        <v>723765.9</v>
      </c>
      <c r="F206" s="26">
        <v>39570.230000000003</v>
      </c>
      <c r="H206" s="3">
        <f t="shared" si="24"/>
        <v>44561</v>
      </c>
      <c r="I206" s="26">
        <f t="shared" si="25"/>
        <v>8757460</v>
      </c>
      <c r="J206" s="26">
        <f t="shared" si="26"/>
        <v>9257678.2204</v>
      </c>
      <c r="K206" s="26">
        <f t="shared" si="27"/>
        <v>4039471.0020000003</v>
      </c>
      <c r="L206" s="26">
        <f t="shared" si="28"/>
        <v>5638136.3610000005</v>
      </c>
      <c r="M206" s="26">
        <f t="shared" si="29"/>
        <v>6085505.6717000008</v>
      </c>
      <c r="N206" s="65">
        <f t="shared" si="30"/>
        <v>33778251.255099997</v>
      </c>
      <c r="P206" s="26">
        <f t="shared" si="23"/>
        <v>103159.66666666791</v>
      </c>
      <c r="Q206" s="26">
        <f t="shared" si="21"/>
        <v>105607.80516666546</v>
      </c>
      <c r="R206" s="26">
        <f t="shared" si="21"/>
        <v>15061.481399999931</v>
      </c>
      <c r="S206" s="26">
        <f t="shared" si="21"/>
        <v>92.960666667670012</v>
      </c>
      <c r="T206" s="26">
        <f t="shared" si="21"/>
        <v>19114.046466667205</v>
      </c>
      <c r="U206" s="66">
        <f t="shared" si="22"/>
        <v>179249.24229999632</v>
      </c>
    </row>
    <row r="207" spans="1:21" x14ac:dyDescent="0.25">
      <c r="A207" s="3">
        <v>44592</v>
      </c>
      <c r="B207" s="26">
        <v>8860485</v>
      </c>
      <c r="C207" s="26">
        <v>8622.5759999999991</v>
      </c>
      <c r="D207" s="26">
        <v>3130492</v>
      </c>
      <c r="E207" s="26">
        <v>725144.4</v>
      </c>
      <c r="F207" s="26">
        <v>40312.519999999997</v>
      </c>
      <c r="H207" s="3">
        <f t="shared" si="24"/>
        <v>44592</v>
      </c>
      <c r="I207" s="26">
        <f t="shared" si="25"/>
        <v>8860485</v>
      </c>
      <c r="J207" s="26">
        <f t="shared" si="26"/>
        <v>9318417.8831999991</v>
      </c>
      <c r="K207" s="26">
        <f t="shared" si="27"/>
        <v>4036456.3848000001</v>
      </c>
      <c r="L207" s="26">
        <f t="shared" si="28"/>
        <v>5648874.8760000002</v>
      </c>
      <c r="M207" s="26">
        <f t="shared" si="29"/>
        <v>6199662.4508000007</v>
      </c>
      <c r="N207" s="65">
        <f t="shared" si="30"/>
        <v>34063896.594800003</v>
      </c>
      <c r="P207" s="26">
        <f t="shared" si="23"/>
        <v>101434.66666666605</v>
      </c>
      <c r="Q207" s="26">
        <f t="shared" si="21"/>
        <v>92401.651166668162</v>
      </c>
      <c r="R207" s="26">
        <f t="shared" si="21"/>
        <v>5847.4290000000037</v>
      </c>
      <c r="S207" s="26">
        <f t="shared" si="21"/>
        <v>-115.03233333304524</v>
      </c>
      <c r="T207" s="26">
        <f t="shared" si="21"/>
        <v>42066.178700000048</v>
      </c>
      <c r="U207" s="66">
        <f t="shared" si="22"/>
        <v>285645.33970000595</v>
      </c>
    </row>
    <row r="208" spans="1:21" x14ac:dyDescent="0.25">
      <c r="A208" s="3">
        <v>44620</v>
      </c>
      <c r="B208" s="26">
        <v>8928129</v>
      </c>
      <c r="C208" s="26">
        <v>8671.2929999999997</v>
      </c>
      <c r="D208" s="26">
        <v>3206380</v>
      </c>
      <c r="E208" s="26">
        <v>730555.4</v>
      </c>
      <c r="F208" s="26">
        <v>40622.9</v>
      </c>
      <c r="H208" s="3">
        <f t="shared" si="24"/>
        <v>44620</v>
      </c>
      <c r="I208" s="26">
        <f t="shared" si="25"/>
        <v>8928129</v>
      </c>
      <c r="J208" s="26">
        <f t="shared" si="26"/>
        <v>9371066.3451000005</v>
      </c>
      <c r="K208" s="26">
        <f t="shared" si="27"/>
        <v>4134306.3720000004</v>
      </c>
      <c r="L208" s="26">
        <f t="shared" si="28"/>
        <v>5691026.5659999996</v>
      </c>
      <c r="M208" s="26">
        <f t="shared" si="29"/>
        <v>6247395.7910000002</v>
      </c>
      <c r="N208" s="65">
        <f t="shared" si="30"/>
        <v>34371924.074100003</v>
      </c>
      <c r="P208" s="26">
        <f t="shared" si="23"/>
        <v>82119.333333333954</v>
      </c>
      <c r="Q208" s="26">
        <f t="shared" ref="Q208:Q210" si="31">+AVERAGE(J206:J208)-AVERAGE(J205:J207)</f>
        <v>77198.723799999803</v>
      </c>
      <c r="R208" s="26">
        <f t="shared" ref="R208:R210" si="32">+AVERAGE(K206:K208)-AVERAGE(K205:K207)</f>
        <v>25024.67519999994</v>
      </c>
      <c r="S208" s="26">
        <f t="shared" ref="S208:S210" si="33">+AVERAGE(L206:L208)-AVERAGE(L205:L207)</f>
        <v>6067.6309999981895</v>
      </c>
      <c r="T208" s="26">
        <f t="shared" ref="T208:T210" si="34">+AVERAGE(M206:M208)-AVERAGE(M205:M207)</f>
        <v>67230.323766667396</v>
      </c>
      <c r="U208" s="66">
        <f t="shared" si="22"/>
        <v>308027.47929999977</v>
      </c>
    </row>
    <row r="209" spans="1:21" x14ac:dyDescent="0.25">
      <c r="A209" s="3">
        <v>44651</v>
      </c>
      <c r="B209" s="26">
        <v>8937142</v>
      </c>
      <c r="C209" s="26">
        <v>8710.6149999999998</v>
      </c>
      <c r="D209" s="26">
        <v>3206380</v>
      </c>
      <c r="E209" s="26">
        <v>735820.3</v>
      </c>
      <c r="F209" s="26">
        <v>39872.589999999997</v>
      </c>
      <c r="H209" s="3">
        <f t="shared" si="24"/>
        <v>44651</v>
      </c>
      <c r="I209" s="26">
        <f t="shared" si="25"/>
        <v>8937142</v>
      </c>
      <c r="J209" s="26">
        <f t="shared" si="26"/>
        <v>9413561.6305</v>
      </c>
      <c r="K209" s="26">
        <f t="shared" si="27"/>
        <v>4134306.3720000004</v>
      </c>
      <c r="L209" s="26">
        <f t="shared" si="28"/>
        <v>5732040.1370000001</v>
      </c>
      <c r="M209" s="26">
        <f t="shared" si="29"/>
        <v>6132005.6161000002</v>
      </c>
      <c r="N209" s="65">
        <f t="shared" si="30"/>
        <v>34349055.755599998</v>
      </c>
      <c r="P209" s="26">
        <f t="shared" si="23"/>
        <v>59894</v>
      </c>
      <c r="Q209" s="26">
        <f t="shared" si="31"/>
        <v>51961.136699998751</v>
      </c>
      <c r="R209" s="26">
        <f t="shared" si="32"/>
        <v>31611.790000000037</v>
      </c>
      <c r="S209" s="26">
        <f t="shared" si="33"/>
        <v>31301.258666667156</v>
      </c>
      <c r="T209" s="26">
        <f t="shared" si="34"/>
        <v>15499.981466665864</v>
      </c>
      <c r="U209" s="66">
        <f>+N209-N208</f>
        <v>-22868.318500004709</v>
      </c>
    </row>
    <row r="210" spans="1:21" x14ac:dyDescent="0.25">
      <c r="A210" s="3">
        <v>44680</v>
      </c>
      <c r="B210" s="26">
        <v>8955851</v>
      </c>
      <c r="C210" s="26">
        <v>8787.9050000000007</v>
      </c>
      <c r="D210" s="26">
        <v>3206380</v>
      </c>
      <c r="E210" s="26">
        <v>738404</v>
      </c>
      <c r="F210" s="26">
        <v>39872.589999999997</v>
      </c>
      <c r="H210" s="3">
        <f t="shared" si="24"/>
        <v>44680</v>
      </c>
      <c r="I210" s="26">
        <f t="shared" si="25"/>
        <v>8955851</v>
      </c>
      <c r="J210" s="26">
        <f t="shared" si="26"/>
        <v>9497088.9334999993</v>
      </c>
      <c r="K210" s="26">
        <f t="shared" si="27"/>
        <v>4134306.3720000004</v>
      </c>
      <c r="L210" s="26">
        <f t="shared" si="28"/>
        <v>5752167.1600000001</v>
      </c>
      <c r="M210" s="26">
        <f t="shared" si="29"/>
        <v>6132005.6161000002</v>
      </c>
      <c r="N210" s="65">
        <f t="shared" si="30"/>
        <v>34471419.081600003</v>
      </c>
      <c r="P210" s="26">
        <f t="shared" si="23"/>
        <v>31788.666666666046</v>
      </c>
      <c r="Q210" s="26">
        <f t="shared" si="31"/>
        <v>59557.016766667366</v>
      </c>
      <c r="R210" s="26">
        <f t="shared" si="32"/>
        <v>32616.662399999797</v>
      </c>
      <c r="S210" s="26">
        <f t="shared" si="33"/>
        <v>34430.761333332397</v>
      </c>
      <c r="T210" s="26">
        <f>+AVERAGE(M208:M210)-AVERAGE(M207:M209)</f>
        <v>-22552.278233334422</v>
      </c>
      <c r="U210" s="66">
        <f t="shared" si="22"/>
        <v>122363.32600000501</v>
      </c>
    </row>
    <row r="211" spans="1:21" x14ac:dyDescent="0.25">
      <c r="A211" s="3"/>
      <c r="B211" s="26"/>
      <c r="C211" s="26"/>
      <c r="D211" s="26"/>
      <c r="E211" s="26"/>
      <c r="F211" s="26"/>
    </row>
    <row r="212" spans="1:21" x14ac:dyDescent="0.25">
      <c r="A212" s="3"/>
      <c r="B212" s="26"/>
      <c r="C212" s="26"/>
      <c r="D212" s="26"/>
      <c r="E212" s="26"/>
      <c r="F212" s="26"/>
    </row>
    <row r="213" spans="1:21" x14ac:dyDescent="0.25">
      <c r="A213" s="3"/>
      <c r="B213" s="26"/>
      <c r="C213" s="26"/>
      <c r="D213" s="26"/>
      <c r="E213" s="26"/>
      <c r="F213" s="26"/>
    </row>
    <row r="214" spans="1:21" x14ac:dyDescent="0.25">
      <c r="A214" s="3"/>
      <c r="B214" s="26"/>
      <c r="C214" s="26"/>
      <c r="D214" s="26"/>
      <c r="E214" s="26"/>
      <c r="F214" s="26"/>
    </row>
    <row r="215" spans="1:21" x14ac:dyDescent="0.25">
      <c r="A215" s="3"/>
      <c r="B215" s="26"/>
      <c r="C215" s="26"/>
      <c r="D215" s="26"/>
      <c r="E215" s="26"/>
      <c r="F215" s="26"/>
    </row>
    <row r="216" spans="1:21" x14ac:dyDescent="0.25">
      <c r="A216" s="3"/>
      <c r="B216" s="26"/>
      <c r="C216" s="26"/>
      <c r="D216" s="26"/>
      <c r="E216" s="26"/>
      <c r="F216" s="26"/>
    </row>
    <row r="217" spans="1:21" x14ac:dyDescent="0.25">
      <c r="A217" s="3"/>
      <c r="B217" s="26"/>
      <c r="C217" s="26"/>
      <c r="D217" s="26"/>
      <c r="E217" s="26"/>
      <c r="F217" s="26"/>
    </row>
    <row r="218" spans="1:21" x14ac:dyDescent="0.25">
      <c r="A218" s="3"/>
      <c r="B218" s="26"/>
      <c r="C218" s="26"/>
      <c r="D218" s="26"/>
      <c r="E218" s="26"/>
      <c r="F218" s="26"/>
    </row>
    <row r="219" spans="1:21" x14ac:dyDescent="0.25">
      <c r="A219" s="3"/>
      <c r="B219" s="26"/>
      <c r="C219" s="26"/>
      <c r="D219" s="26"/>
      <c r="E219" s="26"/>
      <c r="F219" s="26"/>
    </row>
    <row r="220" spans="1:21" x14ac:dyDescent="0.25">
      <c r="A220" s="3"/>
      <c r="B220" s="26"/>
      <c r="C220" s="26"/>
      <c r="D220" s="26"/>
      <c r="E220" s="26"/>
      <c r="F220" s="26"/>
    </row>
    <row r="221" spans="1:21" x14ac:dyDescent="0.25">
      <c r="A221" s="3"/>
      <c r="B221" s="26"/>
      <c r="C221" s="26"/>
      <c r="D221" s="26"/>
      <c r="E221" s="26"/>
      <c r="F221" s="26"/>
    </row>
    <row r="222" spans="1:21" x14ac:dyDescent="0.25">
      <c r="A222" s="3"/>
      <c r="B222" s="26"/>
      <c r="C222" s="26"/>
      <c r="D222" s="26"/>
      <c r="E222" s="26"/>
      <c r="F222" s="26"/>
    </row>
    <row r="223" spans="1:21" x14ac:dyDescent="0.25">
      <c r="A223" s="3"/>
      <c r="B223" s="26"/>
      <c r="C223" s="26"/>
      <c r="D223" s="26"/>
      <c r="E223" s="26"/>
      <c r="F223" s="26"/>
    </row>
    <row r="224" spans="1:21" x14ac:dyDescent="0.25">
      <c r="A224" s="3"/>
      <c r="B224" s="26"/>
      <c r="C224" s="26"/>
      <c r="D224" s="26"/>
      <c r="E224" s="26"/>
      <c r="F224" s="26"/>
    </row>
    <row r="225" spans="1:6" x14ac:dyDescent="0.25">
      <c r="A225" s="3"/>
      <c r="B225" s="26"/>
      <c r="C225" s="26"/>
      <c r="D225" s="26"/>
      <c r="E225" s="26"/>
      <c r="F225" s="26"/>
    </row>
    <row r="226" spans="1:6" x14ac:dyDescent="0.25">
      <c r="A226" s="3"/>
      <c r="B226" s="26"/>
      <c r="C226" s="26"/>
      <c r="D226" s="26"/>
      <c r="E226" s="26"/>
      <c r="F226" s="26"/>
    </row>
    <row r="227" spans="1:6" x14ac:dyDescent="0.25">
      <c r="A227" s="3"/>
      <c r="B227" s="26"/>
      <c r="C227" s="26"/>
    </row>
    <row r="228" spans="1:6" x14ac:dyDescent="0.25">
      <c r="A228" s="3"/>
      <c r="B228" s="26"/>
      <c r="C228" s="26"/>
    </row>
    <row r="229" spans="1:6" x14ac:dyDescent="0.25">
      <c r="A229" s="3"/>
      <c r="B229" s="26"/>
      <c r="C229" s="26"/>
    </row>
    <row r="230" spans="1:6" x14ac:dyDescent="0.25">
      <c r="A230" s="3"/>
      <c r="B230" s="26"/>
      <c r="C230" s="26"/>
    </row>
    <row r="231" spans="1:6" x14ac:dyDescent="0.25">
      <c r="A231" s="3"/>
      <c r="B231" s="26"/>
      <c r="C231" s="26"/>
    </row>
    <row r="232" spans="1:6" x14ac:dyDescent="0.25">
      <c r="A232" s="3"/>
      <c r="B232" s="26"/>
      <c r="C232" s="26"/>
    </row>
    <row r="233" spans="1:6" x14ac:dyDescent="0.25">
      <c r="A233" s="3"/>
      <c r="B233" s="26"/>
      <c r="C233" s="26"/>
    </row>
    <row r="234" spans="1:6" x14ac:dyDescent="0.25">
      <c r="A234" s="3"/>
      <c r="B234" s="26"/>
      <c r="C234" s="26"/>
    </row>
    <row r="235" spans="1:6" x14ac:dyDescent="0.25">
      <c r="A235" s="3"/>
      <c r="B235" s="26"/>
      <c r="C235" s="26"/>
    </row>
    <row r="236" spans="1:6" x14ac:dyDescent="0.25">
      <c r="A236" s="3"/>
      <c r="B236" s="26"/>
      <c r="C236" s="26"/>
    </row>
    <row r="237" spans="1:6" x14ac:dyDescent="0.25">
      <c r="A237" s="3"/>
      <c r="B237" s="26"/>
      <c r="C237" s="26"/>
    </row>
    <row r="238" spans="1:6" x14ac:dyDescent="0.25">
      <c r="A238" s="3"/>
      <c r="B238" s="26"/>
      <c r="C238" s="26"/>
    </row>
    <row r="239" spans="1:6" x14ac:dyDescent="0.25">
      <c r="A239" s="3"/>
      <c r="B239" s="26"/>
      <c r="C239" s="26"/>
    </row>
    <row r="240" spans="1:6" x14ac:dyDescent="0.25">
      <c r="A240" s="3"/>
      <c r="B240" s="26"/>
      <c r="C240" s="26"/>
    </row>
    <row r="241" spans="1:3" x14ac:dyDescent="0.25">
      <c r="A241" s="3"/>
      <c r="B241" s="26"/>
      <c r="C241" s="26"/>
    </row>
    <row r="242" spans="1:3" x14ac:dyDescent="0.25">
      <c r="A242" s="3"/>
      <c r="B242" s="26"/>
      <c r="C242" s="26"/>
    </row>
    <row r="243" spans="1:3" x14ac:dyDescent="0.25">
      <c r="A243" s="3"/>
      <c r="B243" s="26"/>
      <c r="C243" s="26"/>
    </row>
    <row r="244" spans="1:3" x14ac:dyDescent="0.25">
      <c r="A244" s="3"/>
      <c r="B244" s="26"/>
      <c r="C244" s="26"/>
    </row>
    <row r="245" spans="1:3" x14ac:dyDescent="0.25">
      <c r="A245" s="3"/>
      <c r="B245" s="26"/>
      <c r="C245" s="26"/>
    </row>
    <row r="246" spans="1:3" x14ac:dyDescent="0.25">
      <c r="A246" s="3"/>
      <c r="B246" s="26"/>
      <c r="C246" s="26"/>
    </row>
    <row r="247" spans="1:3" x14ac:dyDescent="0.25">
      <c r="A247" s="3"/>
      <c r="B247" s="26"/>
      <c r="C247" s="26"/>
    </row>
    <row r="248" spans="1:3" x14ac:dyDescent="0.25">
      <c r="A248" s="3"/>
      <c r="B248" s="26"/>
      <c r="C248" s="26"/>
    </row>
    <row r="249" spans="1:3" x14ac:dyDescent="0.25">
      <c r="A249" s="3"/>
      <c r="B249" s="26"/>
      <c r="C249" s="26"/>
    </row>
    <row r="250" spans="1:3" x14ac:dyDescent="0.25">
      <c r="A250" s="3"/>
      <c r="B250" s="26"/>
      <c r="C250" s="26"/>
    </row>
    <row r="251" spans="1:3" x14ac:dyDescent="0.25">
      <c r="A251" s="3"/>
    </row>
    <row r="252" spans="1:3" x14ac:dyDescent="0.25">
      <c r="A252" s="3"/>
    </row>
    <row r="253" spans="1:3" x14ac:dyDescent="0.25">
      <c r="A253" s="3"/>
    </row>
    <row r="254" spans="1:3" x14ac:dyDescent="0.25">
      <c r="A254" s="3"/>
    </row>
    <row r="255" spans="1:3" x14ac:dyDescent="0.25">
      <c r="A255" s="3"/>
    </row>
    <row r="256" spans="1:3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</sheetData>
  <conditionalFormatting sqref="P192:T210">
    <cfRule type="cellIs" dxfId="26" priority="2" operator="lessThan">
      <formula>0</formula>
    </cfRule>
    <cfRule type="cellIs" dxfId="25" priority="3" operator="greaterThan">
      <formula>0</formula>
    </cfRule>
  </conditionalFormatting>
  <conditionalFormatting sqref="U192:U210">
    <cfRule type="cellIs" dxfId="24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blank</vt:lpstr>
      <vt:lpstr>rprr</vt:lpstr>
      <vt:lpstr>eco data</vt:lpstr>
      <vt:lpstr>rates</vt:lpstr>
      <vt:lpstr>carry+rd</vt:lpstr>
      <vt:lpstr>EU countries</vt:lpstr>
      <vt:lpstr>monitor</vt:lpstr>
      <vt:lpstr>flows</vt:lpstr>
      <vt:lpstr>CBs</vt:lpstr>
      <vt:lpstr>rprr!Print_Area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plameira</dc:creator>
  <cp:lastModifiedBy>AgentUser</cp:lastModifiedBy>
  <cp:lastPrinted>2021-04-26T11:31:24Z</cp:lastPrinted>
  <dcterms:created xsi:type="dcterms:W3CDTF">2011-10-28T12:19:50Z</dcterms:created>
  <dcterms:modified xsi:type="dcterms:W3CDTF">2022-04-22T11:17:59Z</dcterms:modified>
</cp:coreProperties>
</file>