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nt (Jul 30 - Sep 23)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7">
      <text>
        <t xml:space="preserve">???
</t>
      </text>
    </comment>
    <comment authorId="0" ref="E38">
      <text>
        <t xml:space="preserve">https://cooking.nytimes.com/recipes/1589-linguine-with-lemon-sauce</t>
      </text>
    </comment>
  </commentList>
</comments>
</file>

<file path=xl/sharedStrings.xml><?xml version="1.0" encoding="utf-8"?>
<sst xmlns="http://schemas.openxmlformats.org/spreadsheetml/2006/main" count="210" uniqueCount="129">
  <si>
    <t>Date</t>
  </si>
  <si>
    <t>Out</t>
  </si>
  <si>
    <t>-</t>
  </si>
  <si>
    <t>+</t>
  </si>
  <si>
    <t>Main Meals</t>
  </si>
  <si>
    <t>Est. Price</t>
  </si>
  <si>
    <t>Total Price</t>
  </si>
  <si>
    <t>Other</t>
  </si>
  <si>
    <t>Extra</t>
  </si>
  <si>
    <t>Bread, Milk, Paper, Coffee, Butter, Chocolate</t>
  </si>
  <si>
    <t>Napkins</t>
  </si>
  <si>
    <t>Junk food</t>
  </si>
  <si>
    <t>Yogurt, Bread</t>
  </si>
  <si>
    <t>Toothpaste</t>
  </si>
  <si>
    <t>Pasta, tomatoes, mushrooms, spinach, cheese</t>
  </si>
  <si>
    <t>Eggs, Crispbread, Bread</t>
  </si>
  <si>
    <t>Coffee with cherry pies</t>
  </si>
  <si>
    <t>Beans, quinoa</t>
  </si>
  <si>
    <t>Syrnyky, Milk, Tea, Apples</t>
  </si>
  <si>
    <t>Pizza</t>
  </si>
  <si>
    <t>Train tickets, Fare</t>
  </si>
  <si>
    <t>Bread, Avocado, Bananas</t>
  </si>
  <si>
    <t>Glacée, nuts, coffee, choc</t>
  </si>
  <si>
    <t>Mash, broccoli, soy meatballs</t>
  </si>
  <si>
    <t>Crispbread, Tomatoes, Cucumbers, Pepper</t>
  </si>
  <si>
    <t>Almond, bananas, peaches, yogurt</t>
  </si>
  <si>
    <t>Spent / Avg</t>
  </si>
  <si>
    <t>Rest / Error</t>
  </si>
  <si>
    <t>Oranges, pads</t>
  </si>
  <si>
    <t>Milk, bean, screwdriver</t>
  </si>
  <si>
    <t>Cookies, choc</t>
  </si>
  <si>
    <t>Ramen</t>
  </si>
  <si>
    <t>Syrnyky, coffee, water, bread, cucumbers, greens, eggs, strawberry, butter</t>
  </si>
  <si>
    <t>Museum, cake</t>
  </si>
  <si>
    <t>Lunch</t>
  </si>
  <si>
    <t>Coffee, brownie, smoothies, rolls, water, peach, kiwi fruit, spinach, pads</t>
  </si>
  <si>
    <t>Snacks, churches, fare, taxi</t>
  </si>
  <si>
    <t>Wok, chickpeas</t>
  </si>
  <si>
    <t>Coffee; banana, milk, bread</t>
  </si>
  <si>
    <t>Lichen</t>
  </si>
  <si>
    <t>Rice, squash, tomatoes</t>
  </si>
  <si>
    <t>Filter, watermelon, milk, almond, granola, eggs</t>
  </si>
  <si>
    <t>Beans</t>
  </si>
  <si>
    <t>Apples, butter, bagel, coffee</t>
  </si>
  <si>
    <t>Fare</t>
  </si>
  <si>
    <t>Carrot, apples, orange, yogurt</t>
  </si>
  <si>
    <t>Taxi, sweets, coffee</t>
  </si>
  <si>
    <t>Cutlets</t>
  </si>
  <si>
    <t>Water, fare, coffee</t>
  </si>
  <si>
    <t>Bananas, butter, eggs, spice, flour, Nutella</t>
  </si>
  <si>
    <t>Gum, taxis, beer</t>
  </si>
  <si>
    <t>Cafe</t>
  </si>
  <si>
    <t>Ice cream, cookies, fare</t>
  </si>
  <si>
    <t>Fare, envelop, taxi</t>
  </si>
  <si>
    <t>Fare, beer</t>
  </si>
  <si>
    <t>Taxi</t>
  </si>
  <si>
    <t>Pasta, tomatoes, mushrooms, fish, oranges, milk</t>
  </si>
  <si>
    <t>Tooth brush, soaps</t>
  </si>
  <si>
    <t>Breakfast, coffee</t>
  </si>
  <si>
    <t>Veggies, tofu</t>
  </si>
  <si>
    <t>Eggs, bread, banana, apples, soap, tea, milk, juice</t>
  </si>
  <si>
    <t>Almond, peanut butter, chips, marmelade</t>
  </si>
  <si>
    <t>Burito, juice</t>
  </si>
  <si>
    <t>Bread, almond</t>
  </si>
  <si>
    <t>Coffee, cherry pie</t>
  </si>
  <si>
    <t>Potato, sausage, mushrooms, brussel sprauts, tomato juice</t>
  </si>
  <si>
    <t>Baking powder, banana, bagel</t>
  </si>
  <si>
    <t>Lemon, pasta, heavy cream, cheese, fish</t>
  </si>
  <si>
    <t>Yogurt, coffee, bagel, milk, almond</t>
  </si>
  <si>
    <t>Hooks, butter</t>
  </si>
  <si>
    <t>Avocado, bread, toothpaste, peach, oranges, apples, almond</t>
  </si>
  <si>
    <t>Arzamas</t>
  </si>
  <si>
    <t>Banana, comm</t>
  </si>
  <si>
    <t>Yogurt</t>
  </si>
  <si>
    <t>Squash, cucumbers, tomatoes, quinoa</t>
  </si>
  <si>
    <t>Milk, granola, yogurt, banana, bread</t>
  </si>
  <si>
    <t>Greens, garlic, wrap, tomato, falafel</t>
  </si>
  <si>
    <t>Butter, bagel, sea kale</t>
  </si>
  <si>
    <t>Sauce</t>
  </si>
  <si>
    <t>Paper towels, bagel, tea, apples</t>
  </si>
  <si>
    <t>Sweet</t>
  </si>
  <si>
    <t>Fish, cauliflower, keil, corn, bean, hazelnut</t>
  </si>
  <si>
    <t>Sponges, eggs, bread, mushrooms, pickles, cheese</t>
  </si>
  <si>
    <t>Coffee, sweet</t>
  </si>
  <si>
    <t>Keil, falafel</t>
  </si>
  <si>
    <t>Syrnyky, figs, banana, condensed milk, bread, matches, fare</t>
  </si>
  <si>
    <t>Book, bar, cake, water</t>
  </si>
  <si>
    <t>Tofu, fish</t>
  </si>
  <si>
    <t>Bulbs, coffee, cacao, milk</t>
  </si>
  <si>
    <r>
      <t xml:space="preserve">Juice, potato, eggplant, </t>
    </r>
    <r>
      <rPr>
        <rFont val="Arial"/>
        <color rgb="FF000000"/>
      </rPr>
      <t>green</t>
    </r>
  </si>
  <si>
    <t>Banana, nuts, bread, avocado, soy sauce, porridge</t>
  </si>
  <si>
    <t>Sauce, bread, patty, greens, carot, tomatoes</t>
  </si>
  <si>
    <t>Cucumbers, cola</t>
  </si>
  <si>
    <t>Breakfast, coffee; fare</t>
  </si>
  <si>
    <t>Potato, mussels, green bean, bread</t>
  </si>
  <si>
    <t>Napkins, fruit, oranges, pads, choc, butter, bagel</t>
  </si>
  <si>
    <t>Coffee, cake</t>
  </si>
  <si>
    <t>Noodles, tomatos, fish</t>
  </si>
  <si>
    <t>Coffee, bagel</t>
  </si>
  <si>
    <t>Eggs, bread, gum, banana, milk, cranberry sauce</t>
  </si>
  <si>
    <t>Fare, chocolate, bread, butter</t>
  </si>
  <si>
    <t>Tea, milk, bagel, nuts</t>
  </si>
  <si>
    <t>Burito</t>
  </si>
  <si>
    <t>Fare, bread</t>
  </si>
  <si>
    <t>Potato, broccoli, soy meatballs</t>
  </si>
  <si>
    <r>
      <rPr>
        <rFont val="Arial"/>
        <color theme="1"/>
      </rPr>
      <t xml:space="preserve">Granola, </t>
    </r>
    <r>
      <rPr>
        <rFont val="Arial"/>
        <color theme="1"/>
      </rPr>
      <t>milk</t>
    </r>
    <r>
      <rPr>
        <rFont val="Arial"/>
        <color theme="1"/>
      </rPr>
      <t xml:space="preserve">, banana, oranges, paper, </t>
    </r>
    <r>
      <rPr>
        <rFont val="Arial"/>
        <color theme="1"/>
      </rPr>
      <t>bagel</t>
    </r>
  </si>
  <si>
    <t>Juice, bagel, apples, peaches, milk</t>
  </si>
  <si>
    <t>Cake</t>
  </si>
  <si>
    <t>Coffee, cake; fare</t>
  </si>
  <si>
    <t>Musée, cake; rolls, yogurt, juice</t>
  </si>
  <si>
    <t>Butter, cheese, rice, corn, tofu, eggs, bread</t>
  </si>
  <si>
    <t>Subscriptions</t>
  </si>
  <si>
    <t>Avocado, bagel, soup, plum, banana, granola, apples, yogurt</t>
  </si>
  <si>
    <t>Coffee</t>
  </si>
  <si>
    <t>Tea, brussel sprout, fish, bread, potato</t>
  </si>
  <si>
    <t>Beans, granolas</t>
  </si>
  <si>
    <r>
      <t xml:space="preserve">Soup, syrup, bagel, tofu, banana, </t>
    </r>
    <r>
      <rPr>
        <rFont val="Arial"/>
        <color rgb="FF000000"/>
      </rPr>
      <t>milk, apples</t>
    </r>
  </si>
  <si>
    <r>
      <t xml:space="preserve">Cake, </t>
    </r>
    <r>
      <rPr>
        <rFont val="Arial"/>
        <color rgb="FF000000"/>
      </rPr>
      <t>cookies, chips, juice</t>
    </r>
  </si>
  <si>
    <t>Pills, taxi, fare</t>
  </si>
  <si>
    <t>Lemon, yogurt, butter, soup, bread, falafel, pickles, oranges</t>
  </si>
  <si>
    <t>Cleaner, toothpaste, olive oil, sunflower oil</t>
  </si>
  <si>
    <t>Cake, croissant, fare</t>
  </si>
  <si>
    <r>
      <t xml:space="preserve">Quinoa, bulgur, couscous, vegitables, milk, eggs, </t>
    </r>
    <r>
      <rPr>
        <rFont val="Arial"/>
        <color rgb="FF000000"/>
      </rPr>
      <t>tofu, corn, bread</t>
    </r>
  </si>
  <si>
    <t>Filter</t>
  </si>
  <si>
    <t>Gum, cake</t>
  </si>
  <si>
    <t>Cream, cake</t>
  </si>
  <si>
    <t>Granola, orange, banana, dinner</t>
  </si>
  <si>
    <t>Soap, soap case, floss, toothpaste, fare</t>
  </si>
  <si>
    <t>Sweet, coffee, cake, coffee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</si>
</sst>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color theme="1"/>
      <name val="Arial"/>
    </font>
    <font>
      <i/>
      <color theme="1"/>
      <name val="Arial"/>
    </font>
    <font/>
    <font>
      <b/>
      <color rgb="FF000000"/>
      <name val="Arial"/>
      <scheme val="minor"/>
    </font>
    <font>
      <b/>
      <i/>
      <color theme="1"/>
      <name val="Arial"/>
      <scheme val="minor"/>
    </font>
    <font>
      <color rgb="FFFF0000"/>
      <name val="Arial"/>
      <scheme val="minor"/>
    </font>
    <font>
      <color theme="5"/>
      <name val="Arial"/>
      <scheme val="minor"/>
    </font>
    <font>
      <color rgb="FFEA4335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CD6A6"/>
        <bgColor rgb="FFCCD6A6"/>
      </patternFill>
    </fill>
    <fill>
      <patternFill patternType="solid">
        <fgColor rgb="FFFFEAC3"/>
        <bgColor rgb="FFFFEAC3"/>
      </patternFill>
    </fill>
    <fill>
      <patternFill patternType="solid">
        <fgColor rgb="FFF7EDDB"/>
        <bgColor rgb="FFF7EDDB"/>
      </patternFill>
    </fill>
  </fills>
  <borders count="15">
    <border/>
    <border>
      <right style="dotted">
        <color rgb="FF000000"/>
      </right>
    </border>
    <border>
      <left style="dotted">
        <color rgb="FF000000"/>
      </left>
    </border>
    <border>
      <right style="thin">
        <color rgb="FF000000"/>
      </right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left style="dotted">
        <color rgb="FF000000"/>
      </left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right style="dotted">
        <color rgb="FF000000"/>
      </right>
      <top style="dotted">
        <color rgb="FF000000"/>
      </top>
    </border>
    <border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quotePrefix="1" borderId="0" fillId="2" fontId="1" numFmtId="0" xfId="0" applyAlignment="1" applyFont="1">
      <alignment horizontal="center" readingOrder="0" shrinkToFit="0" wrapText="1"/>
    </xf>
    <xf quotePrefix="1" borderId="1" fillId="2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3" fontId="2" numFmtId="164" xfId="0" applyAlignment="1" applyFill="1" applyFont="1" applyNumberFormat="1">
      <alignment horizontal="center" readingOrder="0" shrinkToFit="0" wrapText="1"/>
    </xf>
    <xf borderId="0" fillId="3" fontId="2" numFmtId="0" xfId="0" applyAlignment="1" applyFont="1">
      <alignment horizontal="center" readingOrder="0" shrinkToFit="0" wrapText="1"/>
    </xf>
    <xf borderId="1" fillId="3" fontId="2" numFmtId="0" xfId="0" applyAlignment="1" applyBorder="1" applyFont="1">
      <alignment horizontal="center" shrinkToFit="0" wrapText="1"/>
    </xf>
    <xf borderId="0" fillId="3" fontId="3" numFmtId="0" xfId="0" applyAlignment="1" applyFont="1">
      <alignment horizontal="center" readingOrder="0" shrinkToFit="0" wrapText="1"/>
    </xf>
    <xf borderId="1" fillId="3" fontId="2" numFmtId="0" xfId="0" applyAlignment="1" applyBorder="1" applyFont="1">
      <alignment horizontal="center" readingOrder="0" shrinkToFit="0" wrapText="1"/>
    </xf>
    <xf borderId="2" fillId="3" fontId="2" numFmtId="0" xfId="0" applyAlignment="1" applyBorder="1" applyFont="1">
      <alignment horizontal="center" readingOrder="0" shrinkToFit="0" wrapText="1"/>
    </xf>
    <xf borderId="3" fillId="3" fontId="2" numFmtId="0" xfId="0" applyAlignment="1" applyBorder="1" applyFont="1">
      <alignment horizontal="center" readingOrder="0" shrinkToFit="0" wrapText="1"/>
    </xf>
    <xf borderId="0" fillId="3" fontId="2" numFmtId="0" xfId="0" applyAlignment="1" applyFont="1">
      <alignment horizontal="center" shrinkToFit="0" wrapText="1"/>
    </xf>
    <xf borderId="0" fillId="3" fontId="3" numFmtId="0" xfId="0" applyAlignment="1" applyFont="1">
      <alignment horizontal="center" shrinkToFit="0" wrapText="1"/>
    </xf>
    <xf borderId="3" fillId="3" fontId="2" numFmtId="0" xfId="0" applyAlignment="1" applyBorder="1" applyFont="1">
      <alignment horizontal="center" shrinkToFit="0" wrapText="1"/>
    </xf>
    <xf borderId="2" fillId="3" fontId="4" numFmtId="0" xfId="0" applyAlignment="1" applyBorder="1" applyFont="1">
      <alignment horizontal="center" readingOrder="0" shrinkToFit="0" vertical="bottom" wrapText="1"/>
    </xf>
    <xf borderId="0" fillId="3" fontId="5" numFmtId="0" xfId="0" applyAlignment="1" applyFont="1">
      <alignment horizontal="center" readingOrder="0" shrinkToFit="0" vertical="bottom" wrapText="1"/>
    </xf>
    <xf borderId="0" fillId="3" fontId="4" numFmtId="0" xfId="0" applyAlignment="1" applyFont="1">
      <alignment horizontal="center" shrinkToFit="0" vertical="bottom" wrapText="1"/>
    </xf>
    <xf borderId="1" fillId="0" fontId="6" numFmtId="0" xfId="0" applyBorder="1" applyFont="1"/>
    <xf borderId="0" fillId="2" fontId="2" numFmtId="0" xfId="0" applyAlignment="1" applyFont="1">
      <alignment horizontal="center" shrinkToFit="0" wrapText="1"/>
    </xf>
    <xf borderId="0" fillId="2" fontId="3" numFmtId="0" xfId="0" applyAlignment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2" fillId="2" fontId="2" numFmtId="0" xfId="0" applyAlignment="1" applyBorder="1" applyFont="1">
      <alignment horizontal="center" shrinkToFit="0" wrapText="1"/>
    </xf>
    <xf borderId="3" fillId="2" fontId="1" numFmtId="0" xfId="0" applyAlignment="1" applyBorder="1" applyFont="1">
      <alignment horizontal="center" readingOrder="0" shrinkToFit="0" wrapText="1"/>
    </xf>
    <xf borderId="4" fillId="2" fontId="1" numFmtId="0" xfId="0" applyAlignment="1" applyBorder="1" applyFont="1">
      <alignment horizontal="center" readingOrder="0" shrinkToFit="0" wrapText="1"/>
    </xf>
    <xf borderId="4" fillId="2" fontId="7" numFmtId="0" xfId="0" applyAlignment="1" applyBorder="1" applyFont="1">
      <alignment horizontal="center" readingOrder="0" shrinkToFit="0" wrapText="1"/>
    </xf>
    <xf borderId="5" fillId="0" fontId="6" numFmtId="0" xfId="0" applyBorder="1" applyFont="1"/>
    <xf borderId="4" fillId="2" fontId="2" numFmtId="0" xfId="0" applyAlignment="1" applyBorder="1" applyFont="1">
      <alignment horizontal="center" shrinkToFit="0" wrapText="1"/>
    </xf>
    <xf borderId="4" fillId="2" fontId="3" numFmtId="0" xfId="0" applyAlignment="1" applyBorder="1" applyFont="1">
      <alignment horizontal="center" shrinkToFit="0" wrapText="1"/>
    </xf>
    <xf borderId="5" fillId="2" fontId="2" numFmtId="0" xfId="0" applyAlignment="1" applyBorder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3" fillId="2" fontId="2" numFmtId="0" xfId="0" applyAlignment="1" applyBorder="1" applyFont="1">
      <alignment horizontal="center" shrinkToFit="0" wrapText="1"/>
    </xf>
    <xf borderId="6" fillId="3" fontId="2" numFmtId="0" xfId="0" applyAlignment="1" applyBorder="1" applyFont="1">
      <alignment horizontal="center" readingOrder="0" shrinkToFit="0" wrapText="1"/>
    </xf>
    <xf borderId="7" fillId="3" fontId="3" numFmtId="0" xfId="0" applyAlignment="1" applyBorder="1" applyFont="1">
      <alignment horizontal="center" readingOrder="0" shrinkToFit="0" wrapText="1"/>
    </xf>
    <xf borderId="8" fillId="3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8" numFmtId="0" xfId="0" applyAlignment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9" fillId="2" fontId="2" numFmtId="0" xfId="0" applyAlignment="1" applyBorder="1" applyFont="1">
      <alignment horizontal="center" shrinkToFit="0" wrapText="1"/>
    </xf>
    <xf borderId="10" fillId="2" fontId="2" numFmtId="0" xfId="0" applyAlignment="1" applyBorder="1" applyFont="1">
      <alignment horizontal="center" shrinkToFit="0" wrapText="1"/>
    </xf>
    <xf borderId="0" fillId="0" fontId="2" numFmtId="0" xfId="0" applyFont="1"/>
    <xf borderId="7" fillId="4" fontId="2" numFmtId="164" xfId="0" applyAlignment="1" applyBorder="1" applyFill="1" applyFont="1" applyNumberFormat="1">
      <alignment horizontal="center" readingOrder="0" shrinkToFit="0" wrapText="1"/>
    </xf>
    <xf borderId="7" fillId="4" fontId="2" numFmtId="0" xfId="0" applyAlignment="1" applyBorder="1" applyFont="1">
      <alignment horizontal="center" readingOrder="0" shrinkToFit="0" wrapText="1"/>
    </xf>
    <xf borderId="11" fillId="4" fontId="2" numFmtId="0" xfId="0" applyAlignment="1" applyBorder="1" applyFont="1">
      <alignment horizontal="center" shrinkToFit="0" wrapText="1"/>
    </xf>
    <xf borderId="7" fillId="4" fontId="3" numFmtId="0" xfId="0" applyAlignment="1" applyBorder="1" applyFont="1">
      <alignment horizontal="center" shrinkToFit="0" wrapText="1"/>
    </xf>
    <xf borderId="6" fillId="4" fontId="2" numFmtId="0" xfId="0" applyAlignment="1" applyBorder="1" applyFont="1">
      <alignment horizontal="center" readingOrder="0" shrinkToFit="0" wrapText="1"/>
    </xf>
    <xf borderId="7" fillId="4" fontId="3" numFmtId="0" xfId="0" applyAlignment="1" applyBorder="1" applyFont="1">
      <alignment horizontal="center" readingOrder="0" shrinkToFit="0" wrapText="1"/>
    </xf>
    <xf borderId="8" fillId="4" fontId="2" numFmtId="0" xfId="0" applyAlignment="1" applyBorder="1" applyFont="1">
      <alignment horizontal="center" readingOrder="0" shrinkToFit="0" wrapText="1"/>
    </xf>
    <xf borderId="0" fillId="4" fontId="2" numFmtId="164" xfId="0" applyAlignment="1" applyFont="1" applyNumberFormat="1">
      <alignment horizontal="center" readingOrder="0" shrinkToFit="0" wrapText="1"/>
    </xf>
    <xf borderId="0" fillId="4" fontId="2" numFmtId="0" xfId="0" applyAlignment="1" applyFont="1">
      <alignment horizontal="center" readingOrder="0" shrinkToFit="0" wrapText="1"/>
    </xf>
    <xf borderId="1" fillId="4" fontId="2" numFmtId="0" xfId="0" applyAlignment="1" applyBorder="1" applyFont="1">
      <alignment horizontal="center" shrinkToFit="0" wrapText="1"/>
    </xf>
    <xf borderId="0" fillId="4" fontId="3" numFmtId="0" xfId="0" applyAlignment="1" applyFont="1">
      <alignment horizontal="center" readingOrder="0" shrinkToFit="0" wrapText="1"/>
    </xf>
    <xf borderId="1" fillId="4" fontId="2" numFmtId="0" xfId="0" applyAlignment="1" applyBorder="1" applyFont="1">
      <alignment horizontal="center" readingOrder="0" shrinkToFit="0" wrapText="1"/>
    </xf>
    <xf borderId="0" fillId="4" fontId="3" numFmtId="0" xfId="0" applyAlignment="1" applyFont="1">
      <alignment horizontal="center" shrinkToFit="0" wrapText="1"/>
    </xf>
    <xf borderId="2" fillId="4" fontId="2" numFmtId="0" xfId="0" applyAlignment="1" applyBorder="1" applyFont="1">
      <alignment horizontal="center" readingOrder="0" shrinkToFit="0" wrapText="1"/>
    </xf>
    <xf borderId="3" fillId="4" fontId="2" numFmtId="0" xfId="0" applyAlignment="1" applyBorder="1" applyFont="1">
      <alignment horizontal="center" readingOrder="0" shrinkToFit="0" wrapText="1"/>
    </xf>
    <xf borderId="3" fillId="4" fontId="2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4" fillId="2" fontId="3" numFmtId="0" xfId="0" applyAlignment="1" applyBorder="1" applyFont="1">
      <alignment horizontal="center" readingOrder="0" shrinkToFit="0" wrapText="1"/>
    </xf>
    <xf borderId="5" fillId="2" fontId="3" numFmtId="0" xfId="0" applyAlignment="1" applyBorder="1" applyFont="1">
      <alignment horizontal="center" shrinkToFit="0" wrapText="1"/>
    </xf>
    <xf borderId="9" fillId="2" fontId="3" numFmtId="0" xfId="0" applyAlignment="1" applyBorder="1" applyFont="1">
      <alignment horizontal="center" shrinkToFit="0" wrapText="1"/>
    </xf>
    <xf borderId="10" fillId="2" fontId="3" numFmtId="0" xfId="0" applyAlignment="1" applyBorder="1" applyFont="1">
      <alignment horizontal="center" shrinkToFit="0" wrapText="1"/>
    </xf>
    <xf borderId="0" fillId="4" fontId="2" numFmtId="0" xfId="0" applyAlignment="1" applyFont="1">
      <alignment horizontal="center" readingOrder="0" shrinkToFit="0" wrapText="1"/>
    </xf>
    <xf borderId="0" fillId="5" fontId="2" numFmtId="164" xfId="0" applyAlignment="1" applyFill="1" applyFont="1" applyNumberFormat="1">
      <alignment horizontal="center" readingOrder="0" shrinkToFit="0" wrapText="1"/>
    </xf>
    <xf borderId="0" fillId="5" fontId="2" numFmtId="0" xfId="0" applyAlignment="1" applyFont="1">
      <alignment horizontal="center" readingOrder="0" shrinkToFit="0" wrapText="1"/>
    </xf>
    <xf borderId="1" fillId="5" fontId="2" numFmtId="0" xfId="0" applyAlignment="1" applyBorder="1" applyFont="1">
      <alignment horizontal="center" shrinkToFit="0" wrapText="1"/>
    </xf>
    <xf borderId="0" fillId="5" fontId="3" numFmtId="0" xfId="0" applyAlignment="1" applyFont="1">
      <alignment horizontal="center" shrinkToFit="0" wrapText="1"/>
    </xf>
    <xf borderId="0" fillId="5" fontId="2" numFmtId="0" xfId="0" applyAlignment="1" applyFont="1">
      <alignment horizontal="center" shrinkToFit="0" wrapText="1"/>
    </xf>
    <xf borderId="2" fillId="5" fontId="2" numFmtId="0" xfId="0" applyAlignment="1" applyBorder="1" applyFont="1">
      <alignment horizontal="center" readingOrder="0" shrinkToFit="0" wrapText="1"/>
    </xf>
    <xf borderId="3" fillId="5" fontId="2" numFmtId="0" xfId="0" applyAlignment="1" applyBorder="1" applyFont="1">
      <alignment horizontal="center" readingOrder="0" shrinkToFit="0" wrapText="1"/>
    </xf>
    <xf borderId="1" fillId="5" fontId="2" numFmtId="0" xfId="0" applyAlignment="1" applyBorder="1" applyFont="1">
      <alignment horizontal="center" readingOrder="0" shrinkToFit="0" wrapText="1"/>
    </xf>
    <xf borderId="0" fillId="5" fontId="3" numFmtId="0" xfId="0" applyAlignment="1" applyFont="1">
      <alignment horizontal="center" readingOrder="0" shrinkToFit="0" wrapText="1"/>
    </xf>
    <xf borderId="3" fillId="5" fontId="2" numFmtId="0" xfId="0" applyAlignment="1" applyBorder="1" applyFont="1">
      <alignment horizontal="center" shrinkToFit="0" wrapText="1"/>
    </xf>
    <xf borderId="2" fillId="4" fontId="2" numFmtId="0" xfId="0" applyAlignment="1" applyBorder="1" applyFont="1">
      <alignment horizontal="center" shrinkToFit="0" wrapText="1"/>
    </xf>
    <xf borderId="4" fillId="0" fontId="2" numFmtId="0" xfId="0" applyBorder="1" applyFont="1"/>
    <xf borderId="4" fillId="2" fontId="9" numFmtId="0" xfId="0" applyAlignment="1" applyBorder="1" applyFont="1">
      <alignment horizontal="left" readingOrder="0" shrinkToFit="0" wrapText="1"/>
    </xf>
    <xf borderId="4" fillId="0" fontId="6" numFmtId="0" xfId="0" applyBorder="1" applyFont="1"/>
    <xf borderId="10" fillId="0" fontId="6" numFmtId="0" xfId="0" applyBorder="1" applyFont="1"/>
    <xf borderId="12" fillId="2" fontId="1" numFmtId="0" xfId="0" applyAlignment="1" applyBorder="1" applyFont="1">
      <alignment horizontal="center" readingOrder="0" shrinkToFit="0" wrapText="1"/>
    </xf>
    <xf borderId="12" fillId="2" fontId="7" numFmtId="0" xfId="0" applyAlignment="1" applyBorder="1" applyFont="1">
      <alignment horizontal="center" readingOrder="0" shrinkToFit="0" wrapText="1"/>
    </xf>
    <xf borderId="13" fillId="0" fontId="6" numFmtId="0" xfId="0" applyBorder="1" applyFont="1"/>
    <xf borderId="12" fillId="2" fontId="10" numFmtId="0" xfId="0" applyAlignment="1" applyBorder="1" applyFont="1">
      <alignment horizontal="left" readingOrder="0" shrinkToFit="0" wrapText="1"/>
    </xf>
    <xf borderId="12" fillId="0" fontId="6" numFmtId="0" xfId="0" applyBorder="1" applyFont="1"/>
    <xf borderId="14" fillId="0" fontId="6" numFmtId="0" xfId="0" applyBorder="1" applyFont="1"/>
    <xf borderId="4" fillId="2" fontId="11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5"/>
    <col customWidth="1" min="2" max="2" width="8.75"/>
    <col customWidth="1" min="3" max="4" width="5.13"/>
    <col customWidth="1" min="5" max="5" width="26.0"/>
    <col customWidth="1" min="6" max="7" width="8.75"/>
    <col customWidth="1" min="8" max="8" width="26.0"/>
    <col customWidth="1" min="9" max="10" width="8.75"/>
    <col customWidth="1" min="11" max="11" width="26.0"/>
    <col customWidth="1" min="12" max="13" width="8.7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4" t="s">
        <v>7</v>
      </c>
      <c r="I1" s="5" t="s">
        <v>5</v>
      </c>
      <c r="J1" s="6" t="s">
        <v>6</v>
      </c>
      <c r="K1" s="7" t="s">
        <v>8</v>
      </c>
      <c r="L1" s="5" t="s">
        <v>5</v>
      </c>
      <c r="M1" s="8" t="s">
        <v>6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44772.0</v>
      </c>
      <c r="B2" s="11">
        <f t="shared" ref="B2:B3" si="1">J2</f>
        <v>30</v>
      </c>
      <c r="C2" s="11"/>
      <c r="D2" s="12"/>
      <c r="E2" s="11" t="s">
        <v>9</v>
      </c>
      <c r="F2" s="13">
        <f>100+100+100+200+600</f>
        <v>1100</v>
      </c>
      <c r="G2" s="14">
        <f>30+60+250+630+170+138</f>
        <v>1278</v>
      </c>
      <c r="H2" s="11" t="s">
        <v>10</v>
      </c>
      <c r="I2" s="13">
        <v>30.0</v>
      </c>
      <c r="J2" s="12">
        <f>30</f>
        <v>30</v>
      </c>
      <c r="K2" s="15" t="s">
        <v>11</v>
      </c>
      <c r="L2" s="13">
        <v>0.0</v>
      </c>
      <c r="M2" s="16">
        <v>300.0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>
        <v>44773.0</v>
      </c>
      <c r="B3" s="17">
        <f t="shared" si="1"/>
        <v>245</v>
      </c>
      <c r="C3" s="11"/>
      <c r="D3" s="12"/>
      <c r="E3" s="11" t="s">
        <v>12</v>
      </c>
      <c r="F3" s="13">
        <f>100+100</f>
        <v>200</v>
      </c>
      <c r="G3" s="14">
        <f>98+76</f>
        <v>174</v>
      </c>
      <c r="H3" s="11" t="s">
        <v>13</v>
      </c>
      <c r="I3" s="13">
        <f>250</f>
        <v>250</v>
      </c>
      <c r="J3" s="12">
        <f>245</f>
        <v>245</v>
      </c>
      <c r="K3" s="15" t="s">
        <v>2</v>
      </c>
      <c r="L3" s="13">
        <v>0.0</v>
      </c>
      <c r="M3" s="16">
        <v>0.0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>
        <v>44774.0</v>
      </c>
      <c r="B4" s="11">
        <f t="shared" ref="B4:B5" si="2">G4+J4+M4</f>
        <v>1838</v>
      </c>
      <c r="C4" s="11"/>
      <c r="D4" s="12"/>
      <c r="E4" s="11" t="s">
        <v>14</v>
      </c>
      <c r="F4" s="18">
        <f>80+100+100+155+200</f>
        <v>635</v>
      </c>
      <c r="G4" s="12">
        <f>80+100+96+155+204</f>
        <v>635</v>
      </c>
      <c r="H4" s="11" t="s">
        <v>15</v>
      </c>
      <c r="I4" s="13">
        <f>200+76+76</f>
        <v>352</v>
      </c>
      <c r="J4" s="12">
        <f>145+76+76+16</f>
        <v>313</v>
      </c>
      <c r="K4" s="15" t="s">
        <v>16</v>
      </c>
      <c r="L4" s="13">
        <v>1000.0</v>
      </c>
      <c r="M4" s="19">
        <f>890</f>
        <v>890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>
        <v>44775.0</v>
      </c>
      <c r="B5" s="11">
        <f t="shared" si="2"/>
        <v>380</v>
      </c>
      <c r="C5" s="11"/>
      <c r="D5" s="12"/>
      <c r="E5" s="11" t="s">
        <v>17</v>
      </c>
      <c r="F5" s="18">
        <f>(100+200)/2</f>
        <v>150</v>
      </c>
      <c r="G5" s="12">
        <f>(80+180)/2 </f>
        <v>130</v>
      </c>
      <c r="H5" s="11" t="s">
        <v>18</v>
      </c>
      <c r="I5" s="13">
        <f>(200+200+100+100)/2</f>
        <v>300</v>
      </c>
      <c r="J5" s="12">
        <f>(164 + 160 + 90 + 86)/2</f>
        <v>250</v>
      </c>
      <c r="K5" s="15" t="s">
        <v>2</v>
      </c>
      <c r="L5" s="13">
        <v>0.0</v>
      </c>
      <c r="M5" s="16">
        <v>0.0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>
        <v>44776.0</v>
      </c>
      <c r="B6" s="11">
        <f>G6+J6+M6-C6</f>
        <v>2716</v>
      </c>
      <c r="C6" s="11">
        <v>7.0</v>
      </c>
      <c r="D6" s="12"/>
      <c r="E6" s="11" t="s">
        <v>19</v>
      </c>
      <c r="F6" s="13">
        <f>(600)</f>
        <v>600</v>
      </c>
      <c r="G6" s="12">
        <f>(590)/2</f>
        <v>295</v>
      </c>
      <c r="H6" s="20" t="s">
        <v>20</v>
      </c>
      <c r="I6" s="21">
        <v>2000.0</v>
      </c>
      <c r="J6" s="22">
        <f>1748+680</f>
        <v>2428</v>
      </c>
      <c r="K6" s="15" t="s">
        <v>2</v>
      </c>
      <c r="L6" s="13">
        <v>0.0</v>
      </c>
      <c r="M6" s="16">
        <v>0.0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>
        <v>44777.0</v>
      </c>
      <c r="B7" s="11">
        <f t="shared" ref="B7:B8" si="4">G7+J7+M7</f>
        <v>657</v>
      </c>
      <c r="C7" s="11"/>
      <c r="D7" s="12"/>
      <c r="E7" s="11" t="s">
        <v>2</v>
      </c>
      <c r="F7" s="18">
        <f t="shared" ref="F7:G7" si="3">0</f>
        <v>0</v>
      </c>
      <c r="G7" s="12">
        <f t="shared" si="3"/>
        <v>0</v>
      </c>
      <c r="H7" s="11" t="s">
        <v>21</v>
      </c>
      <c r="I7" s="13">
        <f>100+200+100</f>
        <v>400</v>
      </c>
      <c r="J7" s="12">
        <f>95+85+45</f>
        <v>225</v>
      </c>
      <c r="K7" s="15" t="s">
        <v>22</v>
      </c>
      <c r="L7" s="13">
        <v>500.0</v>
      </c>
      <c r="M7" s="19">
        <f>50+57+270+55</f>
        <v>432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>
        <v>44778.0</v>
      </c>
      <c r="B8" s="11">
        <f t="shared" si="4"/>
        <v>1259</v>
      </c>
      <c r="C8" s="11"/>
      <c r="D8" s="12"/>
      <c r="E8" s="11" t="s">
        <v>23</v>
      </c>
      <c r="F8" s="18">
        <f>200+200+100</f>
        <v>500</v>
      </c>
      <c r="G8" s="12">
        <f>62+155+274</f>
        <v>491</v>
      </c>
      <c r="H8" s="11" t="s">
        <v>24</v>
      </c>
      <c r="I8" s="13">
        <f>100+100+100+60</f>
        <v>360</v>
      </c>
      <c r="J8" s="12">
        <f>76+80+51+26+8</f>
        <v>241</v>
      </c>
      <c r="K8" s="15" t="s">
        <v>25</v>
      </c>
      <c r="L8" s="13">
        <f>225+125+30</f>
        <v>380</v>
      </c>
      <c r="M8" s="19">
        <f>527</f>
        <v>527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" t="s">
        <v>26</v>
      </c>
      <c r="B9" s="1">
        <f>SUM(B2:B8)</f>
        <v>7125</v>
      </c>
      <c r="C9" s="1">
        <f>ROUND(AVERAGE(B2:B8),0)</f>
        <v>1018</v>
      </c>
      <c r="D9" s="23"/>
      <c r="E9" s="24"/>
      <c r="F9" s="25">
        <f t="shared" ref="F9:G9" si="5">SUM(F2:F8)</f>
        <v>3185</v>
      </c>
      <c r="G9" s="26">
        <f t="shared" si="5"/>
        <v>3003</v>
      </c>
      <c r="H9" s="24"/>
      <c r="I9" s="25">
        <f t="shared" ref="I9:J9" si="6">SUM(I2:I8)</f>
        <v>3692</v>
      </c>
      <c r="J9" s="1">
        <f t="shared" si="6"/>
        <v>3732</v>
      </c>
      <c r="K9" s="27"/>
      <c r="L9" s="25">
        <f t="shared" ref="L9:M9" si="7">SUM(L2:L8)</f>
        <v>1880</v>
      </c>
      <c r="M9" s="28">
        <f t="shared" si="7"/>
        <v>2149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9" t="s">
        <v>27</v>
      </c>
      <c r="B10" s="30">
        <f>5605-B9 +C10</f>
        <v>-420</v>
      </c>
      <c r="C10" s="29">
        <f>365+213-99+621</f>
        <v>1100</v>
      </c>
      <c r="D10" s="31"/>
      <c r="E10" s="32"/>
      <c r="F10" s="33"/>
      <c r="G10" s="34"/>
      <c r="H10" s="32"/>
      <c r="I10" s="33"/>
      <c r="J10" s="34"/>
      <c r="K10" s="27"/>
      <c r="L10" s="35"/>
      <c r="M10" s="36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>
        <v>44779.0</v>
      </c>
      <c r="B11" s="11">
        <f t="shared" ref="B11:B12" si="8">G11+J11+M11</f>
        <v>280</v>
      </c>
      <c r="C11" s="11"/>
      <c r="D11" s="12"/>
      <c r="E11" s="11" t="s">
        <v>2</v>
      </c>
      <c r="F11" s="13">
        <v>0.0</v>
      </c>
      <c r="G11" s="17">
        <f t="shared" ref="G11:G12" si="9">0</f>
        <v>0</v>
      </c>
      <c r="H11" s="15" t="s">
        <v>28</v>
      </c>
      <c r="I11" s="13">
        <v>300.0</v>
      </c>
      <c r="J11" s="14">
        <f>130+150</f>
        <v>280</v>
      </c>
      <c r="K11" s="11" t="s">
        <v>2</v>
      </c>
      <c r="L11" s="13">
        <v>0.0</v>
      </c>
      <c r="M11" s="16">
        <v>0.0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>
        <v>44780.0</v>
      </c>
      <c r="B12" s="11">
        <f t="shared" si="8"/>
        <v>628</v>
      </c>
      <c r="C12" s="11"/>
      <c r="D12" s="12"/>
      <c r="E12" s="11" t="s">
        <v>2</v>
      </c>
      <c r="F12" s="13">
        <v>0.0</v>
      </c>
      <c r="G12" s="17">
        <f t="shared" si="9"/>
        <v>0</v>
      </c>
      <c r="H12" s="15" t="s">
        <v>29</v>
      </c>
      <c r="I12" s="13">
        <f>400</f>
        <v>400</v>
      </c>
      <c r="J12" s="12">
        <f>160+100+108</f>
        <v>368</v>
      </c>
      <c r="K12" s="15" t="s">
        <v>30</v>
      </c>
      <c r="L12" s="13">
        <v>0.0</v>
      </c>
      <c r="M12" s="16">
        <f>200+60</f>
        <v>260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0">
        <v>44781.0</v>
      </c>
      <c r="B13" s="11">
        <f t="shared" ref="B13:B14" si="10">G13+J13+M13-C13</f>
        <v>2040</v>
      </c>
      <c r="C13" s="11">
        <v>540.0</v>
      </c>
      <c r="D13" s="12"/>
      <c r="E13" s="11" t="s">
        <v>31</v>
      </c>
      <c r="F13" s="13">
        <v>800.0</v>
      </c>
      <c r="G13" s="12">
        <f>1000-120</f>
        <v>880</v>
      </c>
      <c r="H13" s="15" t="s">
        <v>32</v>
      </c>
      <c r="I13" s="13">
        <f>(300+300)+40+100+100+100+100+200</f>
        <v>1240</v>
      </c>
      <c r="J13" s="12">
        <f>(300+300)+40+95+(90+170+65+155)+160</f>
        <v>1375</v>
      </c>
      <c r="K13" s="37" t="s">
        <v>33</v>
      </c>
      <c r="L13" s="38">
        <v>150.0</v>
      </c>
      <c r="M13" s="39">
        <f>150+175</f>
        <v>325</v>
      </c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10">
        <v>44782.0</v>
      </c>
      <c r="B14" s="11">
        <f t="shared" si="10"/>
        <v>1899</v>
      </c>
      <c r="C14" s="11">
        <f>160</f>
        <v>160</v>
      </c>
      <c r="D14" s="12">
        <f> 150+90+200+160+403+62+250</f>
        <v>1315</v>
      </c>
      <c r="E14" s="11" t="s">
        <v>34</v>
      </c>
      <c r="F14" s="18">
        <f>800</f>
        <v>800</v>
      </c>
      <c r="G14" s="12">
        <f>404</f>
        <v>404</v>
      </c>
      <c r="H14" s="11" t="s">
        <v>35</v>
      </c>
      <c r="I14" s="13">
        <v>600.0</v>
      </c>
      <c r="J14" s="12">
        <f>(150+90+200+160)+19+(107+90+120)+150</f>
        <v>1086</v>
      </c>
      <c r="K14" s="15" t="s">
        <v>36</v>
      </c>
      <c r="L14" s="18">
        <f>150+100+300+100+0</f>
        <v>650</v>
      </c>
      <c r="M14" s="19">
        <f>114+250+62+143</f>
        <v>569</v>
      </c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10">
        <v>44783.0</v>
      </c>
      <c r="B15" s="11">
        <f>G15+J15+M15+D15</f>
        <v>1651</v>
      </c>
      <c r="C15" s="11"/>
      <c r="D15" s="14">
        <f>70+18</f>
        <v>88</v>
      </c>
      <c r="E15" s="11" t="s">
        <v>37</v>
      </c>
      <c r="F15" s="18">
        <f>350+150</f>
        <v>500</v>
      </c>
      <c r="G15" s="14">
        <f>350+134</f>
        <v>484</v>
      </c>
      <c r="H15" s="15" t="s">
        <v>38</v>
      </c>
      <c r="I15" s="13">
        <f>600+200</f>
        <v>800</v>
      </c>
      <c r="J15" s="12">
        <f>640+80+73+36</f>
        <v>829</v>
      </c>
      <c r="K15" s="15" t="s">
        <v>39</v>
      </c>
      <c r="L15" s="18">
        <f t="shared" ref="L15:M15" si="11">250</f>
        <v>250</v>
      </c>
      <c r="M15" s="19">
        <f t="shared" si="11"/>
        <v>250</v>
      </c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10">
        <v>44784.0</v>
      </c>
      <c r="B16" s="11">
        <f t="shared" ref="B16:B17" si="12">G16+J16+M16</f>
        <v>1371</v>
      </c>
      <c r="C16" s="11"/>
      <c r="D16" s="12"/>
      <c r="E16" s="11" t="s">
        <v>40</v>
      </c>
      <c r="F16" s="18">
        <f>200+100</f>
        <v>300</v>
      </c>
      <c r="G16" s="12">
        <f>119+58+39</f>
        <v>216</v>
      </c>
      <c r="H16" s="11" t="s">
        <v>41</v>
      </c>
      <c r="I16" s="13">
        <f>200+200+100+200+200+200</f>
        <v>1100</v>
      </c>
      <c r="J16" s="12">
        <f>239+197+100+209+230+180</f>
        <v>1155</v>
      </c>
      <c r="K16" s="15" t="s">
        <v>2</v>
      </c>
      <c r="L16" s="13">
        <v>0.0</v>
      </c>
      <c r="M16" s="16">
        <v>0.0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>
        <v>44785.0</v>
      </c>
      <c r="B17" s="11">
        <f t="shared" si="12"/>
        <v>675</v>
      </c>
      <c r="C17" s="11"/>
      <c r="D17" s="12"/>
      <c r="E17" s="11" t="s">
        <v>42</v>
      </c>
      <c r="F17" s="13">
        <v>100.0</v>
      </c>
      <c r="G17" s="12">
        <f>85</f>
        <v>85</v>
      </c>
      <c r="H17" s="11" t="s">
        <v>43</v>
      </c>
      <c r="I17" s="13">
        <f>100+100+100+200</f>
        <v>500</v>
      </c>
      <c r="J17" s="12">
        <f>130+131+60+269</f>
        <v>590</v>
      </c>
      <c r="K17" s="15" t="s">
        <v>2</v>
      </c>
      <c r="L17" s="13">
        <v>0.0</v>
      </c>
      <c r="M17" s="16">
        <v>0.0</v>
      </c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1" t="s">
        <v>26</v>
      </c>
      <c r="B18" s="1">
        <f>SUM(B11:B17)</f>
        <v>8544</v>
      </c>
      <c r="C18" s="1">
        <f>ROUND(AVERAGE(B11:B17),0)</f>
        <v>1221</v>
      </c>
      <c r="D18" s="23"/>
      <c r="E18" s="42"/>
      <c r="F18" s="25">
        <f t="shared" ref="F18:G18" si="13">SUM(F11:F17)</f>
        <v>2500</v>
      </c>
      <c r="G18" s="26">
        <f t="shared" si="13"/>
        <v>2069</v>
      </c>
      <c r="H18" s="24"/>
      <c r="I18" s="25">
        <f t="shared" ref="I18:J18" si="14">SUM(I11:I17)</f>
        <v>4940</v>
      </c>
      <c r="J18" s="1">
        <f t="shared" si="14"/>
        <v>5683</v>
      </c>
      <c r="K18" s="27"/>
      <c r="L18" s="25">
        <f t="shared" ref="L18:M18" si="15">SUM(L11:L17)</f>
        <v>1050</v>
      </c>
      <c r="M18" s="28">
        <f t="shared" si="15"/>
        <v>1404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29" t="s">
        <v>27</v>
      </c>
      <c r="B19" s="30">
        <f>(800*7)-B18 + B10</f>
        <v>-3364</v>
      </c>
      <c r="C19" s="29"/>
      <c r="D19" s="31"/>
      <c r="E19" s="42"/>
      <c r="F19" s="33"/>
      <c r="G19" s="34"/>
      <c r="H19" s="32"/>
      <c r="I19" s="33"/>
      <c r="J19" s="34"/>
      <c r="K19" s="43"/>
      <c r="L19" s="33"/>
      <c r="M19" s="44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0">
        <v>44786.0</v>
      </c>
      <c r="B20" s="11">
        <f t="shared" ref="B20:B26" si="16">G20+J20+M20</f>
        <v>160</v>
      </c>
      <c r="C20" s="11"/>
      <c r="D20" s="12"/>
      <c r="E20" s="11" t="s">
        <v>2</v>
      </c>
      <c r="F20" s="13">
        <v>0.0</v>
      </c>
      <c r="G20" s="14">
        <v>0.0</v>
      </c>
      <c r="H20" s="11" t="s">
        <v>2</v>
      </c>
      <c r="I20" s="13">
        <v>0.0</v>
      </c>
      <c r="J20" s="14">
        <v>0.0</v>
      </c>
      <c r="K20" s="15" t="s">
        <v>44</v>
      </c>
      <c r="L20" s="13">
        <v>0.0</v>
      </c>
      <c r="M20" s="16">
        <f>160</f>
        <v>160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>
        <v>44787.0</v>
      </c>
      <c r="B21" s="11">
        <f t="shared" si="16"/>
        <v>658</v>
      </c>
      <c r="C21" s="11"/>
      <c r="D21" s="12"/>
      <c r="E21" s="11" t="s">
        <v>2</v>
      </c>
      <c r="F21" s="13">
        <f>0</f>
        <v>0</v>
      </c>
      <c r="G21" s="14">
        <v>0.0</v>
      </c>
      <c r="H21" s="11" t="s">
        <v>45</v>
      </c>
      <c r="I21" s="13">
        <f>20+30+50+100+50+150</f>
        <v>400</v>
      </c>
      <c r="J21" s="14">
        <f>4+32+44+140</f>
        <v>220</v>
      </c>
      <c r="K21" s="15" t="s">
        <v>46</v>
      </c>
      <c r="L21" s="13">
        <v>0.0</v>
      </c>
      <c r="M21" s="16">
        <f>75+113+250</f>
        <v>438</v>
      </c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10">
        <v>44788.0</v>
      </c>
      <c r="B22" s="11">
        <f t="shared" si="16"/>
        <v>323</v>
      </c>
      <c r="C22" s="11"/>
      <c r="D22" s="12"/>
      <c r="E22" s="11" t="s">
        <v>19</v>
      </c>
      <c r="F22" s="18">
        <f>350</f>
        <v>350</v>
      </c>
      <c r="G22" s="12">
        <f>323</f>
        <v>323</v>
      </c>
      <c r="H22" s="11" t="s">
        <v>2</v>
      </c>
      <c r="I22" s="13">
        <v>0.0</v>
      </c>
      <c r="J22" s="14">
        <v>0.0</v>
      </c>
      <c r="K22" s="15" t="s">
        <v>2</v>
      </c>
      <c r="L22" s="13">
        <v>0.0</v>
      </c>
      <c r="M22" s="16">
        <v>0.0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>
        <v>44789.0</v>
      </c>
      <c r="B23" s="11">
        <f t="shared" si="16"/>
        <v>876</v>
      </c>
      <c r="C23" s="11"/>
      <c r="D23" s="12"/>
      <c r="E23" s="11" t="s">
        <v>47</v>
      </c>
      <c r="F23" s="13">
        <v>200.0</v>
      </c>
      <c r="G23" s="12">
        <f>202</f>
        <v>202</v>
      </c>
      <c r="H23" s="11" t="s">
        <v>48</v>
      </c>
      <c r="I23" s="13">
        <v>400.0</v>
      </c>
      <c r="J23" s="12">
        <f>69+65+540</f>
        <v>674</v>
      </c>
      <c r="K23" s="15" t="s">
        <v>2</v>
      </c>
      <c r="L23" s="13">
        <v>0.0</v>
      </c>
      <c r="M23" s="16">
        <v>0.0</v>
      </c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10">
        <v>44790.0</v>
      </c>
      <c r="B24" s="11">
        <f t="shared" si="16"/>
        <v>1566</v>
      </c>
      <c r="C24" s="11"/>
      <c r="D24" s="14">
        <v>50.0</v>
      </c>
      <c r="E24" s="11" t="s">
        <v>2</v>
      </c>
      <c r="F24" s="13">
        <v>0.0</v>
      </c>
      <c r="G24" s="14">
        <v>0.0</v>
      </c>
      <c r="H24" s="11" t="s">
        <v>49</v>
      </c>
      <c r="I24" s="13">
        <v>800.0</v>
      </c>
      <c r="J24" s="12">
        <f> 65+150+110+31+80+380</f>
        <v>816</v>
      </c>
      <c r="K24" s="15" t="s">
        <v>50</v>
      </c>
      <c r="L24" s="18">
        <f>250</f>
        <v>250</v>
      </c>
      <c r="M24" s="19">
        <f>30+(221+65)+(287+147)</f>
        <v>750</v>
      </c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10">
        <v>44791.0</v>
      </c>
      <c r="B25" s="11">
        <f t="shared" si="16"/>
        <v>1689</v>
      </c>
      <c r="C25" s="11"/>
      <c r="D25" s="12"/>
      <c r="E25" s="11" t="s">
        <v>51</v>
      </c>
      <c r="F25" s="18">
        <f>1000</f>
        <v>1000</v>
      </c>
      <c r="G25" s="12">
        <f>1290</f>
        <v>1290</v>
      </c>
      <c r="H25" s="11" t="s">
        <v>2</v>
      </c>
      <c r="I25" s="13">
        <f t="shared" ref="I25:I26" si="17">0</f>
        <v>0</v>
      </c>
      <c r="J25" s="14">
        <v>0.0</v>
      </c>
      <c r="K25" s="15" t="s">
        <v>52</v>
      </c>
      <c r="L25" s="18">
        <f>350</f>
        <v>350</v>
      </c>
      <c r="M25" s="19">
        <f>270+69+60</f>
        <v>399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0">
        <v>44792.0</v>
      </c>
      <c r="B26" s="11">
        <f t="shared" si="16"/>
        <v>1404</v>
      </c>
      <c r="C26" s="11"/>
      <c r="D26" s="12"/>
      <c r="E26" s="11" t="s">
        <v>2</v>
      </c>
      <c r="F26" s="13">
        <v>0.0</v>
      </c>
      <c r="G26" s="14">
        <v>0.0</v>
      </c>
      <c r="H26" s="11" t="s">
        <v>2</v>
      </c>
      <c r="I26" s="13">
        <f t="shared" si="17"/>
        <v>0</v>
      </c>
      <c r="J26" s="14">
        <v>0.0</v>
      </c>
      <c r="K26" s="15" t="s">
        <v>53</v>
      </c>
      <c r="L26" s="13">
        <v>1000.0</v>
      </c>
      <c r="M26" s="16">
        <f> 30+80+1294</f>
        <v>1404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" t="s">
        <v>26</v>
      </c>
      <c r="B27" s="1">
        <f>SUM(B20:B26)</f>
        <v>6676</v>
      </c>
      <c r="C27" s="1">
        <f>ROUND(AVERAGE(B20:B26),0)</f>
        <v>954</v>
      </c>
      <c r="D27" s="23"/>
      <c r="E27" s="42"/>
      <c r="F27" s="25">
        <f t="shared" ref="F27:G27" si="18">SUM(F20:F26)</f>
        <v>1550</v>
      </c>
      <c r="G27" s="26">
        <f t="shared" si="18"/>
        <v>1815</v>
      </c>
      <c r="H27" s="24"/>
      <c r="I27" s="25">
        <f t="shared" ref="I27:J27" si="19">SUM(I20:I26)</f>
        <v>1600</v>
      </c>
      <c r="J27" s="1">
        <f t="shared" si="19"/>
        <v>1710</v>
      </c>
      <c r="K27" s="27"/>
      <c r="L27" s="25">
        <f t="shared" ref="L27:M27" si="20">SUM(L20:L26)</f>
        <v>1600</v>
      </c>
      <c r="M27" s="28">
        <f t="shared" si="20"/>
        <v>3151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29" t="s">
        <v>27</v>
      </c>
      <c r="B28" s="30">
        <f>(800*7)-B27 + B19</f>
        <v>-4440</v>
      </c>
      <c r="C28" s="29"/>
      <c r="D28" s="31"/>
      <c r="E28" s="32"/>
      <c r="F28" s="33"/>
      <c r="G28" s="34"/>
      <c r="H28" s="32"/>
      <c r="I28" s="33"/>
      <c r="J28" s="34"/>
      <c r="K28" s="43"/>
      <c r="L28" s="33"/>
      <c r="M28" s="44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0">
        <v>44793.0</v>
      </c>
      <c r="B29" s="11">
        <f>G29+J29+M29+C29</f>
        <v>1447</v>
      </c>
      <c r="C29" s="11">
        <v>140.0</v>
      </c>
      <c r="D29" s="12"/>
      <c r="E29" s="11" t="s">
        <v>51</v>
      </c>
      <c r="F29" s="18">
        <f>(600)</f>
        <v>600</v>
      </c>
      <c r="G29" s="12">
        <f>1010</f>
        <v>1010</v>
      </c>
      <c r="H29" s="11" t="s">
        <v>2</v>
      </c>
      <c r="I29" s="13">
        <v>0.0</v>
      </c>
      <c r="J29" s="14">
        <v>0.0</v>
      </c>
      <c r="K29" s="15" t="s">
        <v>54</v>
      </c>
      <c r="L29" s="13">
        <f>120</f>
        <v>120</v>
      </c>
      <c r="M29" s="19">
        <f>30+267</f>
        <v>297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0">
        <v>44794.0</v>
      </c>
      <c r="B30" s="11">
        <f>G30+J30+M30</f>
        <v>765</v>
      </c>
      <c r="C30" s="11"/>
      <c r="D30" s="12"/>
      <c r="E30" s="11" t="s">
        <v>2</v>
      </c>
      <c r="F30" s="13">
        <v>0.0</v>
      </c>
      <c r="G30" s="14">
        <v>0.0</v>
      </c>
      <c r="H30" s="11" t="s">
        <v>2</v>
      </c>
      <c r="I30" s="13">
        <v>0.0</v>
      </c>
      <c r="J30" s="14">
        <v>0.0</v>
      </c>
      <c r="K30" s="15" t="s">
        <v>55</v>
      </c>
      <c r="L30" s="13">
        <v>700.0</v>
      </c>
      <c r="M30" s="16">
        <f>765</f>
        <v>765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0">
        <v>44795.0</v>
      </c>
      <c r="B31" s="11">
        <f>G31+J31+M31+C31</f>
        <v>1350</v>
      </c>
      <c r="C31" s="11">
        <v>74.0</v>
      </c>
      <c r="D31" s="12"/>
      <c r="E31" s="11" t="s">
        <v>56</v>
      </c>
      <c r="F31" s="18">
        <f>100+100+100+700</f>
        <v>1000</v>
      </c>
      <c r="G31" s="12">
        <f>90+100+100+383+126+100</f>
        <v>899</v>
      </c>
      <c r="H31" s="11" t="s">
        <v>57</v>
      </c>
      <c r="I31" s="13">
        <f>400+200</f>
        <v>600</v>
      </c>
      <c r="J31" s="12">
        <f>167+210</f>
        <v>377</v>
      </c>
      <c r="K31" s="15" t="s">
        <v>2</v>
      </c>
      <c r="L31" s="13">
        <v>0.0</v>
      </c>
      <c r="M31" s="16">
        <v>0.0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0">
        <v>44796.0</v>
      </c>
      <c r="B32" s="11">
        <f t="shared" ref="B32:B35" si="22">G32+J32+M32</f>
        <v>790</v>
      </c>
      <c r="C32" s="11"/>
      <c r="D32" s="12"/>
      <c r="E32" s="11" t="s">
        <v>2</v>
      </c>
      <c r="F32" s="13">
        <v>0.0</v>
      </c>
      <c r="G32" s="14">
        <v>0.0</v>
      </c>
      <c r="H32" s="11" t="s">
        <v>58</v>
      </c>
      <c r="I32" s="13">
        <f>400</f>
        <v>400</v>
      </c>
      <c r="J32" s="12">
        <f>490+560-300</f>
        <v>750</v>
      </c>
      <c r="K32" s="15" t="s">
        <v>44</v>
      </c>
      <c r="L32" s="18">
        <f t="shared" ref="L32:M32" si="21">40</f>
        <v>40</v>
      </c>
      <c r="M32" s="19">
        <f t="shared" si="21"/>
        <v>40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0">
        <v>44797.0</v>
      </c>
      <c r="B33" s="11">
        <f t="shared" si="22"/>
        <v>2451</v>
      </c>
      <c r="C33" s="11"/>
      <c r="D33" s="12"/>
      <c r="E33" s="11" t="s">
        <v>59</v>
      </c>
      <c r="F33" s="18">
        <f>200+200</f>
        <v>400</v>
      </c>
      <c r="G33" s="12">
        <f>273+162</f>
        <v>435</v>
      </c>
      <c r="H33" s="11" t="s">
        <v>60</v>
      </c>
      <c r="I33" s="18">
        <f>200+50+150+800</f>
        <v>1200</v>
      </c>
      <c r="J33" s="12">
        <f>145+76+76+178+738+84+90+118</f>
        <v>1505</v>
      </c>
      <c r="K33" s="15" t="s">
        <v>61</v>
      </c>
      <c r="L33" s="18">
        <f>150+150</f>
        <v>300</v>
      </c>
      <c r="M33" s="19">
        <f>123+158+110+120</f>
        <v>511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0">
        <v>44798.0</v>
      </c>
      <c r="B34" s="11">
        <f t="shared" si="22"/>
        <v>715</v>
      </c>
      <c r="C34" s="11"/>
      <c r="D34" s="12"/>
      <c r="E34" s="11" t="s">
        <v>62</v>
      </c>
      <c r="F34" s="13">
        <v>0.0</v>
      </c>
      <c r="G34" s="14">
        <f>205+43</f>
        <v>248</v>
      </c>
      <c r="H34" s="11" t="s">
        <v>63</v>
      </c>
      <c r="I34" s="13">
        <v>200.0</v>
      </c>
      <c r="J34" s="12">
        <f>44+123</f>
        <v>167</v>
      </c>
      <c r="K34" s="15" t="s">
        <v>64</v>
      </c>
      <c r="L34" s="13">
        <v>600.0</v>
      </c>
      <c r="M34" s="19">
        <f>180+120</f>
        <v>300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0">
        <v>44799.0</v>
      </c>
      <c r="B35" s="11">
        <f t="shared" si="22"/>
        <v>907</v>
      </c>
      <c r="C35" s="11"/>
      <c r="D35" s="12"/>
      <c r="E35" s="11" t="s">
        <v>65</v>
      </c>
      <c r="F35" s="18">
        <f>50+259+165+139+121</f>
        <v>734</v>
      </c>
      <c r="G35" s="12">
        <f>51+259+165+139+129</f>
        <v>743</v>
      </c>
      <c r="H35" s="11" t="s">
        <v>66</v>
      </c>
      <c r="I35" s="18">
        <f>100+100+65</f>
        <v>265</v>
      </c>
      <c r="J35" s="12">
        <f>14+90+60</f>
        <v>164</v>
      </c>
      <c r="K35" s="15" t="s">
        <v>2</v>
      </c>
      <c r="L35" s="13">
        <v>0.0</v>
      </c>
      <c r="M35" s="16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" t="s">
        <v>26</v>
      </c>
      <c r="B36" s="1">
        <f>SUM(B29:B35)</f>
        <v>8425</v>
      </c>
      <c r="C36" s="1">
        <f>ROUND(AVERAGE(B27:B35),0)</f>
        <v>1185</v>
      </c>
      <c r="D36" s="23"/>
      <c r="E36" s="24"/>
      <c r="F36" s="25">
        <f t="shared" ref="F36:G36" si="23">SUM(F29:F35)</f>
        <v>2734</v>
      </c>
      <c r="G36" s="26">
        <f t="shared" si="23"/>
        <v>3335</v>
      </c>
      <c r="H36" s="24"/>
      <c r="I36" s="25">
        <f t="shared" ref="I36:J36" si="24">SUM(I29:I35)</f>
        <v>2665</v>
      </c>
      <c r="J36" s="1">
        <f t="shared" si="24"/>
        <v>2963</v>
      </c>
      <c r="K36" s="27"/>
      <c r="L36" s="25">
        <f t="shared" ref="L36:M36" si="25">SUM(L29:L35)</f>
        <v>1760</v>
      </c>
      <c r="M36" s="28">
        <f t="shared" si="25"/>
        <v>1913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29" t="s">
        <v>27</v>
      </c>
      <c r="B37" s="30">
        <f>(800*7)-B36 + B28 + 4000 + D37</f>
        <v>-3265</v>
      </c>
      <c r="C37" s="45">
        <v>3442.0</v>
      </c>
      <c r="E37" s="32"/>
      <c r="F37" s="33"/>
      <c r="G37" s="34"/>
      <c r="H37" s="32"/>
      <c r="I37" s="33"/>
      <c r="J37" s="34"/>
      <c r="K37" s="43"/>
      <c r="L37" s="33"/>
      <c r="M37" s="44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46">
        <v>44800.0</v>
      </c>
      <c r="B38" s="47">
        <f>G38+J38+M38 - 200</f>
        <v>1648</v>
      </c>
      <c r="C38" s="47"/>
      <c r="D38" s="48"/>
      <c r="E38" s="47" t="s">
        <v>67</v>
      </c>
      <c r="F38" s="49">
        <f>50+150+200+267</f>
        <v>667</v>
      </c>
      <c r="G38" s="48">
        <f>59+80+200+284+145</f>
        <v>768</v>
      </c>
      <c r="H38" s="47" t="s">
        <v>68</v>
      </c>
      <c r="I38" s="49">
        <f>100+300+120+150+120</f>
        <v>790</v>
      </c>
      <c r="J38" s="48">
        <f>105+299+120+173+123</f>
        <v>820</v>
      </c>
      <c r="K38" s="50" t="s">
        <v>69</v>
      </c>
      <c r="L38" s="51">
        <f>100</f>
        <v>100</v>
      </c>
      <c r="M38" s="52">
        <f>129+131</f>
        <v>260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3">
        <v>44801.0</v>
      </c>
      <c r="B39" s="54">
        <f t="shared" ref="B39:B41" si="26">G39+J39+M39</f>
        <v>912</v>
      </c>
      <c r="C39" s="54"/>
      <c r="D39" s="55"/>
      <c r="E39" s="56" t="s">
        <v>2</v>
      </c>
      <c r="F39" s="56">
        <v>0.0</v>
      </c>
      <c r="G39" s="57">
        <v>0.0</v>
      </c>
      <c r="H39" s="54" t="s">
        <v>70</v>
      </c>
      <c r="I39" s="58">
        <f>200+95+200+150+100+150</f>
        <v>895</v>
      </c>
      <c r="J39" s="55">
        <f>110+36+150+90+170+84+123</f>
        <v>763</v>
      </c>
      <c r="K39" s="59" t="s">
        <v>71</v>
      </c>
      <c r="L39" s="56">
        <v>150.0</v>
      </c>
      <c r="M39" s="60">
        <v>149.0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3">
        <v>44802.0</v>
      </c>
      <c r="B40" s="54">
        <f t="shared" si="26"/>
        <v>544</v>
      </c>
      <c r="C40" s="54"/>
      <c r="D40" s="55"/>
      <c r="E40" s="54" t="s">
        <v>2</v>
      </c>
      <c r="F40" s="56">
        <v>0.0</v>
      </c>
      <c r="G40" s="57">
        <v>0.0</v>
      </c>
      <c r="H40" s="54" t="s">
        <v>72</v>
      </c>
      <c r="I40" s="56">
        <f>100+350</f>
        <v>450</v>
      </c>
      <c r="J40" s="55">
        <f>58+346</f>
        <v>404</v>
      </c>
      <c r="K40" s="59" t="s">
        <v>73</v>
      </c>
      <c r="L40" s="56">
        <v>0.0</v>
      </c>
      <c r="M40" s="60">
        <f>140</f>
        <v>140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3">
        <v>44803.0</v>
      </c>
      <c r="B41" s="54">
        <f t="shared" si="26"/>
        <v>586</v>
      </c>
      <c r="C41" s="54"/>
      <c r="D41" s="55"/>
      <c r="E41" s="54" t="s">
        <v>74</v>
      </c>
      <c r="F41" s="56">
        <v>400.0</v>
      </c>
      <c r="G41" s="55">
        <f>40+15+22+85</f>
        <v>162</v>
      </c>
      <c r="H41" s="54" t="s">
        <v>75</v>
      </c>
      <c r="I41" s="56">
        <v>500.0</v>
      </c>
      <c r="J41" s="55">
        <f>33+145+80+68+98</f>
        <v>424</v>
      </c>
      <c r="K41" s="59" t="s">
        <v>2</v>
      </c>
      <c r="L41" s="56">
        <v>0.0</v>
      </c>
      <c r="M41" s="60">
        <v>0.0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3">
        <v>44804.0</v>
      </c>
      <c r="B42" s="54">
        <f>G42+J42+M42-C42</f>
        <v>403</v>
      </c>
      <c r="C42" s="54">
        <f>47+57+17+28+20+93+41</f>
        <v>303</v>
      </c>
      <c r="D42" s="55"/>
      <c r="E42" s="54" t="s">
        <v>76</v>
      </c>
      <c r="F42" s="56">
        <v>450.0</v>
      </c>
      <c r="G42" s="55">
        <f>115+35+56+41+186</f>
        <v>433</v>
      </c>
      <c r="H42" s="54" t="s">
        <v>77</v>
      </c>
      <c r="I42" s="56">
        <v>300.0</v>
      </c>
      <c r="J42" s="55">
        <f>131+60+82</f>
        <v>273</v>
      </c>
      <c r="K42" s="59" t="s">
        <v>2</v>
      </c>
      <c r="L42" s="56">
        <v>0.0</v>
      </c>
      <c r="M42" s="60">
        <v>0.0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3">
        <v>44805.0</v>
      </c>
      <c r="B43" s="54">
        <f>G43+J43+M43</f>
        <v>615</v>
      </c>
      <c r="C43" s="54"/>
      <c r="D43" s="55"/>
      <c r="E43" s="54" t="s">
        <v>78</v>
      </c>
      <c r="F43" s="58">
        <f>95</f>
        <v>95</v>
      </c>
      <c r="G43" s="55">
        <f>95</f>
        <v>95</v>
      </c>
      <c r="H43" s="54" t="s">
        <v>79</v>
      </c>
      <c r="I43" s="58">
        <f>150+100+60+120+100</f>
        <v>530</v>
      </c>
      <c r="J43" s="55">
        <f>140+60+90+140</f>
        <v>430</v>
      </c>
      <c r="K43" s="59" t="s">
        <v>80</v>
      </c>
      <c r="L43" s="58">
        <f>100</f>
        <v>100</v>
      </c>
      <c r="M43" s="61">
        <f>90</f>
        <v>90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3">
        <v>44806.0</v>
      </c>
      <c r="B44" s="54">
        <f>G44+J44+M44-C44</f>
        <v>1523</v>
      </c>
      <c r="C44" s="54">
        <f>90+50+40+152+85+29+130+22</f>
        <v>598</v>
      </c>
      <c r="D44" s="55"/>
      <c r="E44" s="54" t="s">
        <v>81</v>
      </c>
      <c r="F44" s="56">
        <v>800.0</v>
      </c>
      <c r="G44" s="55">
        <f>180+100+80+80+72+234</f>
        <v>746</v>
      </c>
      <c r="H44" s="54" t="s">
        <v>82</v>
      </c>
      <c r="I44" s="56">
        <f>50+150+100+100+100+100+300</f>
        <v>900</v>
      </c>
      <c r="J44" s="55">
        <f>57+170+58+135+125+320</f>
        <v>865</v>
      </c>
      <c r="K44" s="59" t="s">
        <v>83</v>
      </c>
      <c r="L44" s="56">
        <v>600.0</v>
      </c>
      <c r="M44" s="61">
        <f>340+170</f>
        <v>510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" t="s">
        <v>26</v>
      </c>
      <c r="B45" s="1">
        <f>SUM(B38:B44)</f>
        <v>6231</v>
      </c>
      <c r="C45" s="1">
        <f>ROUND(AVERAGE(B38:B44),0)</f>
        <v>890</v>
      </c>
      <c r="D45" s="23"/>
      <c r="E45" s="24"/>
      <c r="F45" s="35">
        <f>SUM(F38:F44)</f>
        <v>2412</v>
      </c>
      <c r="G45" s="62">
        <f>SUM(G38:G43)</f>
        <v>1458</v>
      </c>
      <c r="H45" s="24"/>
      <c r="I45" s="35">
        <f>SUM(I38:I44)</f>
        <v>4365</v>
      </c>
      <c r="J45" s="62">
        <f>SUM(J38:J43)</f>
        <v>3114</v>
      </c>
      <c r="K45" s="27"/>
      <c r="L45" s="35">
        <f>SUM(L38:L44)</f>
        <v>950</v>
      </c>
      <c r="M45" s="63">
        <f>SUM(M38:M43)</f>
        <v>639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29" t="s">
        <v>27</v>
      </c>
      <c r="B46" s="30">
        <f>(800*7)-B45 + B37</f>
        <v>-3896</v>
      </c>
      <c r="C46" s="29"/>
      <c r="D46" s="31"/>
      <c r="E46" s="64"/>
      <c r="F46" s="33"/>
      <c r="G46" s="65"/>
      <c r="H46" s="64"/>
      <c r="I46" s="33"/>
      <c r="J46" s="65"/>
      <c r="K46" s="66"/>
      <c r="L46" s="33"/>
      <c r="M46" s="67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3">
        <v>44807.0</v>
      </c>
      <c r="B47" s="54">
        <f t="shared" ref="B47:B50" si="27">G47+J47+M47</f>
        <v>2650</v>
      </c>
      <c r="C47" s="54"/>
      <c r="D47" s="55"/>
      <c r="E47" s="54" t="s">
        <v>84</v>
      </c>
      <c r="F47" s="58">
        <f>60</f>
        <v>60</v>
      </c>
      <c r="G47" s="55">
        <f>68+189</f>
        <v>257</v>
      </c>
      <c r="H47" s="68" t="s">
        <v>85</v>
      </c>
      <c r="I47" s="58">
        <f>250+40+60+100+50+100+200</f>
        <v>800</v>
      </c>
      <c r="J47" s="55">
        <f>156+45+57+130+58+40+180</f>
        <v>666</v>
      </c>
      <c r="K47" s="59" t="s">
        <v>86</v>
      </c>
      <c r="L47" s="58">
        <f>300+700</f>
        <v>1000</v>
      </c>
      <c r="M47" s="61">
        <f>494+1055+125+53</f>
        <v>1727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3">
        <v>44808.0</v>
      </c>
      <c r="B48" s="54">
        <f t="shared" si="27"/>
        <v>1500</v>
      </c>
      <c r="C48" s="54"/>
      <c r="D48" s="55"/>
      <c r="E48" s="54" t="s">
        <v>87</v>
      </c>
      <c r="F48" s="58">
        <f>(600)</f>
        <v>600</v>
      </c>
      <c r="G48" s="55">
        <f>137+383</f>
        <v>520</v>
      </c>
      <c r="H48" s="54" t="s">
        <v>88</v>
      </c>
      <c r="I48" s="56">
        <f>300+300+100</f>
        <v>700</v>
      </c>
      <c r="J48" s="55">
        <f>240+390+150+200</f>
        <v>980</v>
      </c>
      <c r="K48" s="59" t="s">
        <v>2</v>
      </c>
      <c r="L48" s="56">
        <v>0.0</v>
      </c>
      <c r="M48" s="60">
        <v>0.0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69">
        <v>44809.0</v>
      </c>
      <c r="B49" s="70">
        <f t="shared" si="27"/>
        <v>792</v>
      </c>
      <c r="C49" s="70"/>
      <c r="D49" s="71"/>
      <c r="E49" s="70" t="s">
        <v>89</v>
      </c>
      <c r="F49" s="72">
        <f>100+100+50+100</f>
        <v>350</v>
      </c>
      <c r="G49" s="71">
        <f>95+48+48+70</f>
        <v>261</v>
      </c>
      <c r="H49" s="70" t="s">
        <v>90</v>
      </c>
      <c r="I49" s="73">
        <f>100+120+100+100+100+100</f>
        <v>620</v>
      </c>
      <c r="J49" s="71">
        <f>83+123+58+95+97+75</f>
        <v>531</v>
      </c>
      <c r="K49" s="74" t="s">
        <v>2</v>
      </c>
      <c r="L49" s="70">
        <v>0.0</v>
      </c>
      <c r="M49" s="75">
        <v>0.0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69">
        <v>44810.0</v>
      </c>
      <c r="B50" s="70">
        <f t="shared" si="27"/>
        <v>410</v>
      </c>
      <c r="C50" s="70"/>
      <c r="D50" s="76">
        <v>434.0</v>
      </c>
      <c r="E50" s="70" t="s">
        <v>91</v>
      </c>
      <c r="F50" s="72">
        <f>95+60+150+50+30+70</f>
        <v>455</v>
      </c>
      <c r="G50" s="71">
        <f>95+70+150+45+10+40</f>
        <v>410</v>
      </c>
      <c r="H50" s="74" t="s">
        <v>2</v>
      </c>
      <c r="I50" s="70">
        <v>0.0</v>
      </c>
      <c r="J50" s="76">
        <v>0.0</v>
      </c>
      <c r="K50" s="74" t="s">
        <v>2</v>
      </c>
      <c r="L50" s="70">
        <v>0.0</v>
      </c>
      <c r="M50" s="75">
        <v>0.0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69">
        <v>44811.0</v>
      </c>
      <c r="B51" s="70">
        <f>G51+J51+M51-(D51-35)</f>
        <v>740</v>
      </c>
      <c r="C51" s="70"/>
      <c r="D51" s="76">
        <f>G51/2+(J51-180)/2</f>
        <v>525</v>
      </c>
      <c r="E51" s="70" t="s">
        <v>92</v>
      </c>
      <c r="F51" s="72">
        <f>100+100</f>
        <v>200</v>
      </c>
      <c r="G51" s="71">
        <f>260</f>
        <v>260</v>
      </c>
      <c r="H51" s="70" t="s">
        <v>93</v>
      </c>
      <c r="I51" s="77">
        <f>1000</f>
        <v>1000</v>
      </c>
      <c r="J51" s="76">
        <f>350+440+180</f>
        <v>970</v>
      </c>
      <c r="K51" s="74" t="s">
        <v>2</v>
      </c>
      <c r="L51" s="77">
        <v>0.0</v>
      </c>
      <c r="M51" s="78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3">
        <v>44812.0</v>
      </c>
      <c r="B52" s="54">
        <f>G52+J52+M52-(D52-2.5)</f>
        <v>1552</v>
      </c>
      <c r="C52" s="54"/>
      <c r="D52" s="57">
        <f>G52/2-43+M52/2</f>
        <v>502.5</v>
      </c>
      <c r="E52" s="54" t="s">
        <v>94</v>
      </c>
      <c r="F52" s="58">
        <f>(600)</f>
        <v>600</v>
      </c>
      <c r="G52" s="55">
        <f>94+359+105+43</f>
        <v>601</v>
      </c>
      <c r="H52" s="54" t="s">
        <v>95</v>
      </c>
      <c r="I52" s="58">
        <f>150+150+150+150+150+150</f>
        <v>900</v>
      </c>
      <c r="J52" s="55">
        <f>140+96+119+140+(180+80)+150+56</f>
        <v>961</v>
      </c>
      <c r="K52" s="59" t="s">
        <v>96</v>
      </c>
      <c r="L52" s="58">
        <f>500</f>
        <v>500</v>
      </c>
      <c r="M52" s="61">
        <f>(280+210)</f>
        <v>490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3">
        <v>44813.0</v>
      </c>
      <c r="B53" s="54">
        <f>G53+J53+M53</f>
        <v>803</v>
      </c>
      <c r="C53" s="54"/>
      <c r="D53" s="55"/>
      <c r="E53" s="54" t="s">
        <v>97</v>
      </c>
      <c r="F53" s="58">
        <f t="shared" ref="F53:G53" si="28">67+66+230</f>
        <v>363</v>
      </c>
      <c r="G53" s="55">
        <f t="shared" si="28"/>
        <v>363</v>
      </c>
      <c r="H53" s="54" t="s">
        <v>98</v>
      </c>
      <c r="I53" s="58">
        <f t="shared" ref="I53:J53" si="29">380+60</f>
        <v>440</v>
      </c>
      <c r="J53" s="55">
        <f t="shared" si="29"/>
        <v>440</v>
      </c>
      <c r="K53" s="59" t="s">
        <v>2</v>
      </c>
      <c r="L53" s="56">
        <v>0.0</v>
      </c>
      <c r="M53" s="60">
        <v>0.0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" t="s">
        <v>26</v>
      </c>
      <c r="B54" s="1">
        <f>SUM(B47:B53)</f>
        <v>8447</v>
      </c>
      <c r="C54" s="1">
        <f>ROUND(AVERAGE(B47:B53),0)</f>
        <v>1207</v>
      </c>
      <c r="D54" s="23"/>
      <c r="E54" s="24"/>
      <c r="F54" s="35">
        <f t="shared" ref="F54:G54" si="30">SUM(F47:F52)</f>
        <v>2265</v>
      </c>
      <c r="G54" s="62">
        <f t="shared" si="30"/>
        <v>2309</v>
      </c>
      <c r="H54" s="24"/>
      <c r="I54" s="35">
        <f t="shared" ref="I54:J54" si="31">SUM(I47:I52)</f>
        <v>4020</v>
      </c>
      <c r="J54" s="62">
        <f t="shared" si="31"/>
        <v>4108</v>
      </c>
      <c r="K54" s="27"/>
      <c r="L54" s="35">
        <f t="shared" ref="L54:M54" si="32">SUM(L47:L53)</f>
        <v>1500</v>
      </c>
      <c r="M54" s="63">
        <f t="shared" si="32"/>
        <v>2217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29" t="s">
        <v>27</v>
      </c>
      <c r="B55" s="30">
        <f>(800*7)-B54 + B46 + D50</f>
        <v>-6309</v>
      </c>
      <c r="C55" s="29"/>
      <c r="D55" s="31"/>
      <c r="E55" s="32"/>
      <c r="F55" s="33"/>
      <c r="G55" s="34"/>
      <c r="H55" s="32"/>
      <c r="I55" s="33"/>
      <c r="J55" s="34"/>
      <c r="K55" s="43"/>
      <c r="L55" s="33"/>
      <c r="M55" s="44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3">
        <v>44814.0</v>
      </c>
      <c r="B56" s="54">
        <f t="shared" ref="B56:B57" si="33">G56+J56+M56-D56</f>
        <v>992</v>
      </c>
      <c r="C56" s="54"/>
      <c r="D56" s="55">
        <f>85+30</f>
        <v>115</v>
      </c>
      <c r="E56" s="54" t="s">
        <v>42</v>
      </c>
      <c r="F56" s="58">
        <f>100</f>
        <v>100</v>
      </c>
      <c r="G56" s="55">
        <f>70</f>
        <v>70</v>
      </c>
      <c r="H56" s="68" t="s">
        <v>99</v>
      </c>
      <c r="I56" s="58">
        <f>500</f>
        <v>500</v>
      </c>
      <c r="J56" s="55">
        <f>160+55+25+47+70+120</f>
        <v>477</v>
      </c>
      <c r="K56" s="59" t="s">
        <v>100</v>
      </c>
      <c r="L56" s="56">
        <v>65.0</v>
      </c>
      <c r="M56" s="61">
        <f>65+290+34+171</f>
        <v>560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3">
        <v>44815.0</v>
      </c>
      <c r="B57" s="54">
        <f t="shared" si="33"/>
        <v>745</v>
      </c>
      <c r="C57" s="54"/>
      <c r="D57" s="55">
        <f>395</f>
        <v>395</v>
      </c>
      <c r="E57" s="54" t="s">
        <v>19</v>
      </c>
      <c r="F57" s="58">
        <f>800</f>
        <v>800</v>
      </c>
      <c r="G57" s="55">
        <f>791</f>
        <v>791</v>
      </c>
      <c r="H57" s="54" t="s">
        <v>101</v>
      </c>
      <c r="I57" s="56">
        <f>200+100+60+123</f>
        <v>483</v>
      </c>
      <c r="J57" s="55">
        <f>80+89+60+120</f>
        <v>349</v>
      </c>
      <c r="K57" s="59" t="s">
        <v>2</v>
      </c>
      <c r="L57" s="56">
        <v>0.0</v>
      </c>
      <c r="M57" s="60">
        <v>0.0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69">
        <v>44816.0</v>
      </c>
      <c r="B58" s="70">
        <f>G58+J58+M58</f>
        <v>1048</v>
      </c>
      <c r="C58" s="70"/>
      <c r="D58" s="76"/>
      <c r="E58" s="70" t="s">
        <v>102</v>
      </c>
      <c r="F58" s="72">
        <f>210+250</f>
        <v>460</v>
      </c>
      <c r="G58" s="71">
        <f>210+250+200</f>
        <v>660</v>
      </c>
      <c r="H58" s="70" t="s">
        <v>103</v>
      </c>
      <c r="I58" s="72">
        <f>200+90+70+100</f>
        <v>460</v>
      </c>
      <c r="J58" s="71">
        <f>180+48+160</f>
        <v>388</v>
      </c>
      <c r="K58" s="74" t="s">
        <v>2</v>
      </c>
      <c r="L58" s="77">
        <v>0.0</v>
      </c>
      <c r="M58" s="75">
        <v>0.0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3">
        <v>44817.0</v>
      </c>
      <c r="B59" s="54">
        <f>G59+J59+M59-D59</f>
        <v>907</v>
      </c>
      <c r="C59" s="54"/>
      <c r="D59" s="55">
        <f>225+265</f>
        <v>490</v>
      </c>
      <c r="E59" s="54" t="s">
        <v>104</v>
      </c>
      <c r="F59" s="58">
        <f>64+126+274</f>
        <v>464</v>
      </c>
      <c r="G59" s="55">
        <f>54+126+274</f>
        <v>454</v>
      </c>
      <c r="H59" s="54" t="s">
        <v>105</v>
      </c>
      <c r="I59" s="58">
        <f>200+175+70+150+200+60</f>
        <v>855</v>
      </c>
      <c r="J59" s="55">
        <f>200+175+76+132+300+60</f>
        <v>943</v>
      </c>
      <c r="K59" s="59" t="s">
        <v>2</v>
      </c>
      <c r="L59" s="56">
        <v>0.0</v>
      </c>
      <c r="M59" s="60">
        <v>0.0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69">
        <v>44818.0</v>
      </c>
      <c r="B60" s="70">
        <f t="shared" ref="B60:B62" si="34">G60+J60+M60</f>
        <v>564</v>
      </c>
      <c r="C60" s="70"/>
      <c r="D60" s="71"/>
      <c r="E60" s="70" t="s">
        <v>2</v>
      </c>
      <c r="F60" s="77">
        <v>0.0</v>
      </c>
      <c r="G60" s="76">
        <v>0.0</v>
      </c>
      <c r="H60" s="70" t="s">
        <v>106</v>
      </c>
      <c r="I60" s="72">
        <f>100+100+100+100+100</f>
        <v>500</v>
      </c>
      <c r="J60" s="71">
        <f>120+60+60+65+88</f>
        <v>393</v>
      </c>
      <c r="K60" s="74" t="s">
        <v>107</v>
      </c>
      <c r="L60" s="72">
        <f>0</f>
        <v>0</v>
      </c>
      <c r="M60" s="78">
        <f>171</f>
        <v>171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3">
        <v>44819.0</v>
      </c>
      <c r="B61" s="54">
        <f t="shared" si="34"/>
        <v>1545</v>
      </c>
      <c r="C61" s="54"/>
      <c r="D61" s="55"/>
      <c r="E61" s="54" t="s">
        <v>34</v>
      </c>
      <c r="F61" s="58">
        <f>300</f>
        <v>300</v>
      </c>
      <c r="G61" s="55">
        <f>284</f>
        <v>284</v>
      </c>
      <c r="H61" s="54" t="s">
        <v>108</v>
      </c>
      <c r="I61" s="58">
        <f>600+300</f>
        <v>900</v>
      </c>
      <c r="J61" s="55">
        <f>140+170+350</f>
        <v>660</v>
      </c>
      <c r="K61" s="59" t="s">
        <v>109</v>
      </c>
      <c r="L61" s="56">
        <f>450</f>
        <v>450</v>
      </c>
      <c r="M61" s="60">
        <f>0+190+180+105+126</f>
        <v>601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3">
        <v>44820.0</v>
      </c>
      <c r="B62" s="54">
        <f t="shared" si="34"/>
        <v>905</v>
      </c>
      <c r="C62" s="54"/>
      <c r="D62" s="55"/>
      <c r="E62" s="54" t="s">
        <v>110</v>
      </c>
      <c r="F62" s="58">
        <f>200+200+100+100+150+150</f>
        <v>900</v>
      </c>
      <c r="G62" s="55">
        <f>165+110+110+70+130+145+40</f>
        <v>770</v>
      </c>
      <c r="H62" s="54" t="s">
        <v>111</v>
      </c>
      <c r="I62" s="58">
        <f>134+300</f>
        <v>434</v>
      </c>
      <c r="J62" s="55">
        <f>135</f>
        <v>135</v>
      </c>
      <c r="K62" s="79"/>
      <c r="L62" s="58"/>
      <c r="M62" s="61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" t="s">
        <v>26</v>
      </c>
      <c r="B63" s="1">
        <f>SUM(B56:B62)+D63</f>
        <v>6706</v>
      </c>
      <c r="C63" s="1">
        <f>ROUND(AVERAGE(B56:B62),0)</f>
        <v>958</v>
      </c>
      <c r="D63" s="23"/>
      <c r="E63" s="24"/>
      <c r="F63" s="35">
        <f>SUM(F56:F61)</f>
        <v>2124</v>
      </c>
      <c r="G63" s="62">
        <f>SUM(G56:G62)</f>
        <v>3029</v>
      </c>
      <c r="H63" s="24"/>
      <c r="I63" s="35">
        <f t="shared" ref="I63:J63" si="35">SUM(I56:I61)</f>
        <v>3698</v>
      </c>
      <c r="J63" s="62">
        <f t="shared" si="35"/>
        <v>3210</v>
      </c>
      <c r="K63" s="27"/>
      <c r="L63" s="35">
        <f t="shared" ref="L63:M63" si="36">SUM(L56:L61)</f>
        <v>515</v>
      </c>
      <c r="M63" s="63">
        <f t="shared" si="36"/>
        <v>1332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29" t="s">
        <v>27</v>
      </c>
      <c r="B64" s="30">
        <f>(675*7+34)-B63 -D64</f>
        <v>-1947</v>
      </c>
      <c r="C64" s="80">
        <v>-9.0</v>
      </c>
      <c r="D64" s="31"/>
      <c r="E64" s="81"/>
      <c r="F64" s="82"/>
      <c r="G64" s="82"/>
      <c r="H64" s="82"/>
      <c r="I64" s="82"/>
      <c r="J64" s="82"/>
      <c r="K64" s="82"/>
      <c r="L64" s="82"/>
      <c r="M64" s="83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3">
        <v>44821.0</v>
      </c>
      <c r="B65" s="54">
        <f t="shared" ref="B65:B69" si="37">G65+J65+M65</f>
        <v>1300</v>
      </c>
      <c r="C65" s="54"/>
      <c r="D65" s="55"/>
      <c r="E65" s="54" t="s">
        <v>112</v>
      </c>
      <c r="F65" s="58">
        <f>495+200+100+105</f>
        <v>900</v>
      </c>
      <c r="G65" s="55">
        <f>100+60+200+55+80+200+120+105</f>
        <v>920</v>
      </c>
      <c r="H65" s="68" t="s">
        <v>2</v>
      </c>
      <c r="I65" s="56">
        <v>0.0</v>
      </c>
      <c r="J65" s="57">
        <v>0.0</v>
      </c>
      <c r="K65" s="59" t="s">
        <v>113</v>
      </c>
      <c r="L65" s="56">
        <v>300.0</v>
      </c>
      <c r="M65" s="60">
        <v>380.0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69">
        <v>44822.0</v>
      </c>
      <c r="B66" s="70">
        <f t="shared" si="37"/>
        <v>774</v>
      </c>
      <c r="C66" s="70"/>
      <c r="D66" s="71"/>
      <c r="E66" s="70" t="s">
        <v>114</v>
      </c>
      <c r="F66" s="77">
        <v>700.0</v>
      </c>
      <c r="G66" s="71">
        <f>36+185+383+36+36</f>
        <v>676</v>
      </c>
      <c r="H66" s="70" t="s">
        <v>2</v>
      </c>
      <c r="I66" s="77">
        <v>0.0</v>
      </c>
      <c r="J66" s="76">
        <v>0.0</v>
      </c>
      <c r="K66" s="74" t="s">
        <v>107</v>
      </c>
      <c r="L66" s="77">
        <f>100</f>
        <v>100</v>
      </c>
      <c r="M66" s="75">
        <f>98</f>
        <v>98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3">
        <v>44823.0</v>
      </c>
      <c r="B67" s="54">
        <f t="shared" si="37"/>
        <v>391</v>
      </c>
      <c r="C67" s="54"/>
      <c r="D67" s="55"/>
      <c r="E67" s="54" t="s">
        <v>115</v>
      </c>
      <c r="F67" s="58">
        <f>300</f>
        <v>300</v>
      </c>
      <c r="G67" s="55">
        <f>200+90</f>
        <v>290</v>
      </c>
      <c r="H67" s="68" t="s">
        <v>2</v>
      </c>
      <c r="I67" s="56">
        <v>0.0</v>
      </c>
      <c r="J67" s="57">
        <v>0.0</v>
      </c>
      <c r="K67" s="59" t="s">
        <v>107</v>
      </c>
      <c r="L67" s="56">
        <v>100.0</v>
      </c>
      <c r="M67" s="60">
        <v>101.0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69">
        <v>44824.0</v>
      </c>
      <c r="B68" s="70">
        <f t="shared" si="37"/>
        <v>475</v>
      </c>
      <c r="C68" s="70"/>
      <c r="D68" s="71"/>
      <c r="E68" s="70" t="s">
        <v>113</v>
      </c>
      <c r="F68" s="77">
        <v>500.0</v>
      </c>
      <c r="G68" s="76">
        <v>475.0</v>
      </c>
      <c r="H68" s="70" t="s">
        <v>2</v>
      </c>
      <c r="I68" s="77">
        <v>0.0</v>
      </c>
      <c r="J68" s="76">
        <v>0.0</v>
      </c>
      <c r="K68" s="74" t="s">
        <v>2</v>
      </c>
      <c r="L68" s="77">
        <v>0.0</v>
      </c>
      <c r="M68" s="75">
        <v>0.0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3">
        <v>44825.0</v>
      </c>
      <c r="B69" s="54">
        <f t="shared" si="37"/>
        <v>1247</v>
      </c>
      <c r="C69" s="54"/>
      <c r="D69" s="55"/>
      <c r="E69" s="54" t="s">
        <v>116</v>
      </c>
      <c r="F69" s="56">
        <f>500+100+250+100</f>
        <v>950</v>
      </c>
      <c r="G69" s="55">
        <f>91+145+60+145+80+108+190</f>
        <v>819</v>
      </c>
      <c r="H69" s="68" t="s">
        <v>2</v>
      </c>
      <c r="I69" s="56">
        <v>0.0</v>
      </c>
      <c r="J69" s="57">
        <v>0.0</v>
      </c>
      <c r="K69" s="59" t="s">
        <v>117</v>
      </c>
      <c r="L69" s="56">
        <f>150+100</f>
        <v>250</v>
      </c>
      <c r="M69" s="61">
        <f>153+70+110+95</f>
        <v>428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69">
        <v>44826.0</v>
      </c>
      <c r="B70" s="70">
        <f>G70+J70+M70 +C70</f>
        <v>671</v>
      </c>
      <c r="C70" s="70"/>
      <c r="D70" s="71"/>
      <c r="E70" s="70" t="s">
        <v>2</v>
      </c>
      <c r="F70" s="77">
        <v>0.0</v>
      </c>
      <c r="G70" s="76">
        <v>0.0</v>
      </c>
      <c r="H70" s="70" t="s">
        <v>118</v>
      </c>
      <c r="I70" s="72">
        <f>300+300</f>
        <v>600</v>
      </c>
      <c r="J70" s="71">
        <f>361+310</f>
        <v>671</v>
      </c>
      <c r="K70" s="74" t="s">
        <v>2</v>
      </c>
      <c r="L70" s="77">
        <v>0.0</v>
      </c>
      <c r="M70" s="75">
        <v>0.0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3">
        <v>44827.0</v>
      </c>
      <c r="B71" s="54">
        <f>G71+J71+M71-D71</f>
        <v>2291</v>
      </c>
      <c r="C71" s="54"/>
      <c r="D71" s="55">
        <f>80+135+69</f>
        <v>284</v>
      </c>
      <c r="E71" s="54" t="s">
        <v>119</v>
      </c>
      <c r="F71" s="58">
        <f>30+100+200+300+100+200</f>
        <v>930</v>
      </c>
      <c r="G71" s="55">
        <f>28+68+200+264+82+222+180+138</f>
        <v>1182</v>
      </c>
      <c r="H71" s="54" t="s">
        <v>120</v>
      </c>
      <c r="I71" s="58">
        <f>200+400+400+200</f>
        <v>1200</v>
      </c>
      <c r="J71" s="55">
        <f>200+160+500+120</f>
        <v>980</v>
      </c>
      <c r="K71" s="59" t="s">
        <v>121</v>
      </c>
      <c r="L71" s="58">
        <f>400</f>
        <v>400</v>
      </c>
      <c r="M71" s="61">
        <f>183+100+130</f>
        <v>413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" t="s">
        <v>26</v>
      </c>
      <c r="B72" s="1">
        <f>SUM(B65:B71)</f>
        <v>7149</v>
      </c>
      <c r="C72" s="1">
        <f>ROUND(AVERAGE(B65:B71),0)</f>
        <v>1021</v>
      </c>
      <c r="D72" s="23"/>
      <c r="E72" s="24"/>
      <c r="F72" s="35">
        <f t="shared" ref="F72:G72" si="38">SUM(F65:F70)</f>
        <v>3350</v>
      </c>
      <c r="G72" s="62">
        <f t="shared" si="38"/>
        <v>3180</v>
      </c>
      <c r="H72" s="24"/>
      <c r="I72" s="35">
        <f t="shared" ref="I72:J72" si="39">SUM(I65:I70)</f>
        <v>600</v>
      </c>
      <c r="J72" s="62">
        <f t="shared" si="39"/>
        <v>671</v>
      </c>
      <c r="K72" s="27"/>
      <c r="L72" s="35">
        <f t="shared" ref="L72:M72" si="40">SUM(L65:L70)</f>
        <v>750</v>
      </c>
      <c r="M72" s="63">
        <f t="shared" si="40"/>
        <v>1007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84" t="s">
        <v>27</v>
      </c>
      <c r="B73" s="85">
        <f>(1000*7)-B72</f>
        <v>-149</v>
      </c>
      <c r="C73" s="84">
        <f>174</f>
        <v>174</v>
      </c>
      <c r="D73" s="86"/>
      <c r="E73" s="87"/>
      <c r="F73" s="88"/>
      <c r="G73" s="88"/>
      <c r="H73" s="88"/>
      <c r="I73" s="88"/>
      <c r="J73" s="88"/>
      <c r="K73" s="88"/>
      <c r="L73" s="88"/>
      <c r="M73" s="8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69">
        <v>44828.0</v>
      </c>
      <c r="B74" s="70">
        <f t="shared" ref="B74:B75" si="41">G74+J74+M74-C74</f>
        <v>1046</v>
      </c>
      <c r="C74" s="70">
        <f>500+250</f>
        <v>750</v>
      </c>
      <c r="D74" s="71"/>
      <c r="E74" s="70" t="s">
        <v>122</v>
      </c>
      <c r="F74" s="77">
        <f>200+100+150+150+100+150+150+80</f>
        <v>1080</v>
      </c>
      <c r="G74" s="76">
        <f>290+80+110+93+150+140+112+100+76</f>
        <v>1151</v>
      </c>
      <c r="H74" s="70" t="s">
        <v>123</v>
      </c>
      <c r="I74" s="77">
        <f>400</f>
        <v>400</v>
      </c>
      <c r="J74" s="76">
        <f>480</f>
        <v>480</v>
      </c>
      <c r="K74" s="74" t="s">
        <v>124</v>
      </c>
      <c r="L74" s="77">
        <f>30</f>
        <v>30</v>
      </c>
      <c r="M74" s="75">
        <f>25+140</f>
        <v>165</v>
      </c>
    </row>
    <row r="75">
      <c r="A75" s="53">
        <v>44829.0</v>
      </c>
      <c r="B75" s="54">
        <f t="shared" si="41"/>
        <v>-72</v>
      </c>
      <c r="C75" s="54">
        <f>250+215+1</f>
        <v>466</v>
      </c>
      <c r="D75" s="55"/>
      <c r="E75" s="54" t="s">
        <v>2</v>
      </c>
      <c r="F75" s="56">
        <v>0.0</v>
      </c>
      <c r="G75" s="57">
        <v>0.0</v>
      </c>
      <c r="H75" s="68" t="s">
        <v>125</v>
      </c>
      <c r="I75" s="56">
        <f>250</f>
        <v>250</v>
      </c>
      <c r="J75" s="57">
        <f>254+140</f>
        <v>394</v>
      </c>
      <c r="K75" s="59" t="s">
        <v>2</v>
      </c>
      <c r="L75" s="56">
        <v>0.0</v>
      </c>
      <c r="M75" s="60">
        <v>0.0</v>
      </c>
    </row>
    <row r="76">
      <c r="A76" s="69">
        <v>44830.0</v>
      </c>
      <c r="B76" s="70">
        <f>G76+J76+M76</f>
        <v>1550</v>
      </c>
      <c r="C76" s="70"/>
      <c r="D76" s="71"/>
      <c r="E76" s="70" t="s">
        <v>126</v>
      </c>
      <c r="F76" s="77">
        <v>1000.0</v>
      </c>
      <c r="G76" s="76">
        <f>120+50+49+731</f>
        <v>950</v>
      </c>
      <c r="H76" s="70" t="s">
        <v>44</v>
      </c>
      <c r="I76" s="72">
        <f t="shared" ref="I76:J76" si="42">180</f>
        <v>180</v>
      </c>
      <c r="J76" s="71">
        <f t="shared" si="42"/>
        <v>180</v>
      </c>
      <c r="K76" s="74" t="s">
        <v>96</v>
      </c>
      <c r="L76" s="77">
        <v>500.0</v>
      </c>
      <c r="M76" s="75">
        <f>170+250</f>
        <v>420</v>
      </c>
    </row>
    <row r="77">
      <c r="A77" s="53">
        <v>44831.0</v>
      </c>
      <c r="B77" s="54">
        <f>G77+J77+M77 -C77</f>
        <v>1510</v>
      </c>
      <c r="C77" s="54">
        <v>33.0</v>
      </c>
      <c r="D77" s="55"/>
      <c r="E77" s="54" t="s">
        <v>2</v>
      </c>
      <c r="F77" s="56">
        <v>0.0</v>
      </c>
      <c r="G77" s="57">
        <v>0.0</v>
      </c>
      <c r="H77" s="54" t="s">
        <v>127</v>
      </c>
      <c r="I77" s="56">
        <v>500.0</v>
      </c>
      <c r="J77" s="55">
        <f>130+100+106+130+68</f>
        <v>534</v>
      </c>
      <c r="K77" s="59" t="s">
        <v>128</v>
      </c>
      <c r="L77" s="56">
        <v>200.0</v>
      </c>
      <c r="M77" s="61">
        <f>173+26+480+330</f>
        <v>1009</v>
      </c>
    </row>
    <row r="78">
      <c r="A78" s="1" t="s">
        <v>26</v>
      </c>
      <c r="B78" s="1">
        <f>SUM(B74:B77)</f>
        <v>4034</v>
      </c>
      <c r="C78" s="1">
        <f>ROUND(AVERAGE(B74:B77),0)</f>
        <v>1009</v>
      </c>
      <c r="E78" s="24"/>
      <c r="F78" s="35">
        <f t="shared" ref="F78:G78" si="43">SUM(F75:F76)</f>
        <v>1000</v>
      </c>
      <c r="G78" s="62">
        <f t="shared" si="43"/>
        <v>950</v>
      </c>
      <c r="H78" s="24"/>
      <c r="I78" s="35">
        <f t="shared" ref="I78:J78" si="44">SUM(I75:I76)</f>
        <v>430</v>
      </c>
      <c r="J78" s="62">
        <f t="shared" si="44"/>
        <v>574</v>
      </c>
      <c r="K78" s="27"/>
      <c r="L78" s="35">
        <f t="shared" ref="L78:M78" si="45">SUM(L75:L76)</f>
        <v>500</v>
      </c>
      <c r="M78" s="63">
        <f t="shared" si="45"/>
        <v>420</v>
      </c>
    </row>
    <row r="79">
      <c r="A79" s="29" t="s">
        <v>27</v>
      </c>
      <c r="B79" s="30">
        <f>3080-B78</f>
        <v>-954</v>
      </c>
      <c r="C79" s="30"/>
      <c r="D79" s="82"/>
      <c r="E79" s="90"/>
      <c r="F79" s="82"/>
      <c r="G79" s="82"/>
      <c r="H79" s="82"/>
      <c r="I79" s="82"/>
      <c r="J79" s="82"/>
      <c r="K79" s="82"/>
      <c r="L79" s="82"/>
      <c r="M79" s="83"/>
    </row>
    <row r="80"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</sheetData>
  <mergeCells count="21">
    <mergeCell ref="C37:D37"/>
    <mergeCell ref="C45:D45"/>
    <mergeCell ref="C46:D46"/>
    <mergeCell ref="C54:D54"/>
    <mergeCell ref="C55:D55"/>
    <mergeCell ref="C63:D63"/>
    <mergeCell ref="C64:D64"/>
    <mergeCell ref="E64:M64"/>
    <mergeCell ref="C72:D72"/>
    <mergeCell ref="C73:D73"/>
    <mergeCell ref="E73:M73"/>
    <mergeCell ref="C78:D78"/>
    <mergeCell ref="C79:D79"/>
    <mergeCell ref="E79:M79"/>
    <mergeCell ref="C9:D9"/>
    <mergeCell ref="C10:D10"/>
    <mergeCell ref="C18:D18"/>
    <mergeCell ref="C19:D19"/>
    <mergeCell ref="C27:D27"/>
    <mergeCell ref="C28:D28"/>
    <mergeCell ref="C36:D36"/>
  </mergeCells>
  <drawing r:id="rId2"/>
  <legacyDrawing r:id="rId3"/>
</worksheet>
</file>