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gan\CFS Dropbox\James Logan\cable_heating\"/>
    </mc:Choice>
  </mc:AlternateContent>
  <xr:revisionPtr revIDLastSave="0" documentId="13_ncr:1_{A267CF01-9C99-4AC6-9A69-5A093B2F13D1}" xr6:coauthVersionLast="45" xr6:coauthVersionMax="45" xr10:uidLastSave="{00000000-0000-0000-0000-000000000000}"/>
  <bookViews>
    <workbookView xWindow="240" yWindow="630" windowWidth="18135" windowHeight="9262" xr2:uid="{CE8BC66B-67E9-44D6-B5B6-A6D053BBA1F3}"/>
  </bookViews>
  <sheets>
    <sheet name="Resistive - DC" sheetId="1" r:id="rId1"/>
  </sheets>
  <definedNames>
    <definedName name="solver_adj" localSheetId="0" hidden="1">'Resistive - DC'!$B$37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'Resistive - DC'!$B$40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B38" i="1"/>
  <c r="B35" i="1"/>
  <c r="B36" i="1" s="1"/>
  <c r="F27" i="1" l="1"/>
  <c r="B39" i="1"/>
  <c r="B2" i="1"/>
  <c r="B44" i="1" l="1"/>
  <c r="B50" i="1" s="1"/>
  <c r="B26" i="1"/>
  <c r="B11" i="1"/>
  <c r="B12" i="1" s="1"/>
  <c r="B15" i="1" s="1"/>
  <c r="B20" i="1" s="1"/>
  <c r="B4" i="1"/>
  <c r="F28" i="1" l="1"/>
  <c r="B21" i="1"/>
  <c r="B22" i="1" s="1"/>
  <c r="B13" i="1"/>
  <c r="B14" i="1" s="1"/>
  <c r="F29" i="1" l="1"/>
  <c r="B23" i="1"/>
  <c r="B27" i="1" s="1"/>
  <c r="B28" i="1" s="1"/>
  <c r="F30" i="1" l="1"/>
  <c r="B40" i="1" s="1"/>
</calcChain>
</file>

<file path=xl/sharedStrings.xml><?xml version="1.0" encoding="utf-8"?>
<sst xmlns="http://schemas.openxmlformats.org/spreadsheetml/2006/main" count="134" uniqueCount="113">
  <si>
    <t>r</t>
  </si>
  <si>
    <t>Cp</t>
  </si>
  <si>
    <t>J/kg-K</t>
  </si>
  <si>
    <t>rho</t>
  </si>
  <si>
    <t>kg/m^3</t>
  </si>
  <si>
    <t>L</t>
  </si>
  <si>
    <t>m</t>
  </si>
  <si>
    <t>D</t>
  </si>
  <si>
    <t>Ohm*m</t>
  </si>
  <si>
    <t>19mm core + 3mm thick jacket (worst case)</t>
  </si>
  <si>
    <t>A</t>
  </si>
  <si>
    <t>m^2</t>
  </si>
  <si>
    <t>cross-sectional area assuming solid</t>
  </si>
  <si>
    <t>V</t>
  </si>
  <si>
    <t>m^3</t>
  </si>
  <si>
    <t>Th. Mass</t>
  </si>
  <si>
    <t>J/K</t>
  </si>
  <si>
    <t>W</t>
  </si>
  <si>
    <t>K/s</t>
  </si>
  <si>
    <t>Start temp</t>
  </si>
  <si>
    <t>End temp</t>
  </si>
  <si>
    <t>Heating time</t>
  </si>
  <si>
    <t>K</t>
  </si>
  <si>
    <t>C</t>
  </si>
  <si>
    <t>Ohms</t>
  </si>
  <si>
    <t>Supply current</t>
  </si>
  <si>
    <t>s</t>
  </si>
  <si>
    <t>min</t>
  </si>
  <si>
    <t>Supply voltage req.</t>
  </si>
  <si>
    <t>A_geom</t>
  </si>
  <si>
    <t>A_eff</t>
  </si>
  <si>
    <t>Fill Fraction</t>
  </si>
  <si>
    <t>[]</t>
  </si>
  <si>
    <t>How much of the cross-section is actually copper? Seat-of-the-pants estimate</t>
  </si>
  <si>
    <t>Temp. Delta</t>
  </si>
  <si>
    <t>5V max for magna-power unit</t>
  </si>
  <si>
    <t>2200A max for magna-power unit</t>
  </si>
  <si>
    <t>https://magna-power.com/assets/files/datasheets/datasheet_ts_4.4.0.pdf</t>
  </si>
  <si>
    <t>cross-sectional area assuming some sub-unity fill fraction</t>
  </si>
  <si>
    <t>CSMC ~31m, SPARC ~100-150m, PF ~300m</t>
  </si>
  <si>
    <t>BOM</t>
  </si>
  <si>
    <t>4550T121</t>
  </si>
  <si>
    <t>$ (tot)</t>
  </si>
  <si>
    <t>4ft, 312W heater tape (for solder reservoir)</t>
  </si>
  <si>
    <t>4p4t temperature controller (for solder reservoir)</t>
  </si>
  <si>
    <t>https://www.dropbox.com/home/SPARC_Joint/Research_Projects/GDT/Manufacturing/Heating%20Ring</t>
  </si>
  <si>
    <t>Total</t>
  </si>
  <si>
    <t>MagnaPower TSD5-2200/480</t>
  </si>
  <si>
    <t>5V/2200A power supply</t>
  </si>
  <si>
    <t>PLC software (DataWorx)</t>
  </si>
  <si>
    <t>BX-DM1E-10ED13-D</t>
  </si>
  <si>
    <t>Only one PLC</t>
  </si>
  <si>
    <t>RTDs for cable sense</t>
  </si>
  <si>
    <t>guestimate</t>
  </si>
  <si>
    <t>K^-1</t>
  </si>
  <si>
    <t>Pr</t>
  </si>
  <si>
    <t>g</t>
  </si>
  <si>
    <t>rho_air</t>
  </si>
  <si>
    <t>nu_air</t>
  </si>
  <si>
    <t>m/s^2</t>
  </si>
  <si>
    <t>m^2/s</t>
  </si>
  <si>
    <t>Ambient temp</t>
  </si>
  <si>
    <t>Convective Temp Delta</t>
  </si>
  <si>
    <t>h</t>
  </si>
  <si>
    <t>k</t>
  </si>
  <si>
    <t>W/m-K</t>
  </si>
  <si>
    <t>W/K-m^2</t>
  </si>
  <si>
    <t>h(A/L)dT</t>
  </si>
  <si>
    <t>Ra_D</t>
  </si>
  <si>
    <t>Gr_D</t>
  </si>
  <si>
    <t>coeff of thermal expansion</t>
  </si>
  <si>
    <t>k_air</t>
  </si>
  <si>
    <t>Beta</t>
  </si>
  <si>
    <t>Grashof</t>
  </si>
  <si>
    <t>Rayleigh = GrPr</t>
  </si>
  <si>
    <t>W/m</t>
  </si>
  <si>
    <t>Assumes no convection</t>
  </si>
  <si>
    <t>Should probably insulate</t>
  </si>
  <si>
    <t>""</t>
  </si>
  <si>
    <t>Resistive Heating</t>
  </si>
  <si>
    <t>Convection Losses</t>
  </si>
  <si>
    <t>C101 Properties</t>
  </si>
  <si>
    <t>Cable Geom.</t>
  </si>
  <si>
    <t>Tabluated. Varies ~ .69 to .74</t>
  </si>
  <si>
    <t>PLC w/ ethernet, 6ch RTD module, analog output module, &amp; all terminal blocks</t>
  </si>
  <si>
    <t>For 2x 0.5mOhm connectors</t>
  </si>
  <si>
    <t>Cable resistance</t>
  </si>
  <si>
    <t>R_cable</t>
  </si>
  <si>
    <t>R_conn</t>
  </si>
  <si>
    <t>Cable Heating Power</t>
  </si>
  <si>
    <t>Cable Heating Rate</t>
  </si>
  <si>
    <t>High-current cables &amp; connectors</t>
  </si>
  <si>
    <t>WHAM solder controller</t>
  </si>
  <si>
    <t>Description</t>
  </si>
  <si>
    <t>Count</t>
  </si>
  <si>
    <t>Insulated Conduction</t>
  </si>
  <si>
    <t>Insulation thickness</t>
  </si>
  <si>
    <t>t_ins</t>
  </si>
  <si>
    <t>k_ins</t>
  </si>
  <si>
    <t>D_ins</t>
  </si>
  <si>
    <t>Insulation OD</t>
  </si>
  <si>
    <t>Insulation thermal conductivity; 0.2 for epoxy, 0.05 for matrix-less fiberglass mat</t>
  </si>
  <si>
    <t>Ts</t>
  </si>
  <si>
    <t>Surface temp</t>
  </si>
  <si>
    <t>qdot / L</t>
  </si>
  <si>
    <t>(W/m-K)^-1</t>
  </si>
  <si>
    <t>R_cond / L</t>
  </si>
  <si>
    <t>Per-length thermal resistance of insulation</t>
  </si>
  <si>
    <t>dT</t>
  </si>
  <si>
    <t>Insulation dT</t>
  </si>
  <si>
    <t>Conductive power per length</t>
  </si>
  <si>
    <t>Conductive-Convective Power Error</t>
  </si>
  <si>
    <t>Power balance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</si>
</sst>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000"/>
    <numFmt numFmtId="166" formatCode="&quot;$&quot;#,##0"/>
    <numFmt numFmtId="167" formatCode="0.000"/>
    <numFmt numFmtId="172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1" fontId="0" fillId="0" borderId="0" xfId="0" applyNumberFormat="1"/>
    <xf numFmtId="11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0" xfId="0" applyNumberFormat="1" applyBorder="1"/>
    <xf numFmtId="1" fontId="0" fillId="0" borderId="0" xfId="0" applyNumberFormat="1" applyBorder="1"/>
    <xf numFmtId="0" fontId="1" fillId="0" borderId="5" xfId="0" applyFont="1" applyBorder="1"/>
    <xf numFmtId="0" fontId="0" fillId="0" borderId="6" xfId="0" applyBorder="1"/>
    <xf numFmtId="1" fontId="0" fillId="0" borderId="7" xfId="0" applyNumberFormat="1" applyBorder="1"/>
    <xf numFmtId="0" fontId="0" fillId="0" borderId="7" xfId="0" applyBorder="1"/>
    <xf numFmtId="0" fontId="0" fillId="0" borderId="8" xfId="0" applyBorder="1"/>
    <xf numFmtId="11" fontId="0" fillId="0" borderId="0" xfId="0" applyNumberFormat="1" applyBorder="1"/>
    <xf numFmtId="0" fontId="1" fillId="0" borderId="8" xfId="0" applyFont="1" applyBorder="1"/>
    <xf numFmtId="164" fontId="0" fillId="0" borderId="0" xfId="0" applyNumberFormat="1" applyBorder="1"/>
    <xf numFmtId="0" fontId="1" fillId="0" borderId="2" xfId="0" applyFont="1" applyBorder="1"/>
    <xf numFmtId="0" fontId="0" fillId="0" borderId="0" xfId="0" applyFill="1" applyBorder="1"/>
    <xf numFmtId="0" fontId="0" fillId="0" borderId="7" xfId="0" applyFont="1" applyBorder="1"/>
    <xf numFmtId="0" fontId="0" fillId="0" borderId="5" xfId="0" applyFill="1" applyBorder="1"/>
    <xf numFmtId="167" fontId="0" fillId="0" borderId="0" xfId="0" applyNumberFormat="1" applyBorder="1"/>
    <xf numFmtId="165" fontId="0" fillId="0" borderId="0" xfId="0" applyNumberFormat="1" applyBorder="1"/>
    <xf numFmtId="11" fontId="0" fillId="0" borderId="7" xfId="0" applyNumberFormat="1" applyBorder="1"/>
    <xf numFmtId="0" fontId="0" fillId="0" borderId="7" xfId="0" applyFill="1" applyBorder="1"/>
    <xf numFmtId="0" fontId="1" fillId="0" borderId="9" xfId="0" applyFont="1" applyBorder="1"/>
    <xf numFmtId="0" fontId="1" fillId="0" borderId="1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6" fontId="0" fillId="0" borderId="0" xfId="0" applyNumberFormat="1" applyBorder="1"/>
    <xf numFmtId="0" fontId="0" fillId="0" borderId="13" xfId="0" applyBorder="1"/>
    <xf numFmtId="0" fontId="2" fillId="0" borderId="12" xfId="1" applyBorder="1"/>
    <xf numFmtId="0" fontId="0" fillId="0" borderId="14" xfId="0" applyBorder="1"/>
    <xf numFmtId="166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4" xfId="0" applyBorder="1" applyAlignment="1">
      <alignment wrapText="1"/>
    </xf>
    <xf numFmtId="0" fontId="0" fillId="0" borderId="6" xfId="0" applyFill="1" applyBorder="1"/>
    <xf numFmtId="172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0</xdr:rowOff>
    </xdr:from>
    <xdr:to>
      <xdr:col>2</xdr:col>
      <xdr:colOff>638201</xdr:colOff>
      <xdr:row>78</xdr:row>
      <xdr:rowOff>4798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041149-9E6D-4C48-8F9B-0BA457CD7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63063"/>
          <a:ext cx="3505226" cy="4891123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11</xdr:row>
      <xdr:rowOff>52387</xdr:rowOff>
    </xdr:from>
    <xdr:to>
      <xdr:col>18</xdr:col>
      <xdr:colOff>181036</xdr:colOff>
      <xdr:row>19</xdr:row>
      <xdr:rowOff>28585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D77ACC-D9CC-48D2-8CAD-0D9B1727F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1588" y="2052637"/>
          <a:ext cx="8262998" cy="1433523"/>
        </a:xfrm>
        <a:prstGeom prst="rect">
          <a:avLst/>
        </a:prstGeom>
      </xdr:spPr>
    </xdr:pic>
    <xdr:clientData/>
  </xdr:twoCellAnchor>
  <xdr:twoCellAnchor editAs="oneCell">
    <xdr:from>
      <xdr:col>7</xdr:col>
      <xdr:colOff>576262</xdr:colOff>
      <xdr:row>24</xdr:row>
      <xdr:rowOff>9526</xdr:rowOff>
    </xdr:from>
    <xdr:to>
      <xdr:col>8</xdr:col>
      <xdr:colOff>609612</xdr:colOff>
      <xdr:row>26</xdr:row>
      <xdr:rowOff>114304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008757-400F-4EA8-A0D0-91D8D8C9E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01175" y="4191001"/>
          <a:ext cx="1704987" cy="466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cmaster.com/4550T1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A896E-5258-4F98-B004-72792A28F7F9}">
  <dimension ref="A1:K50"/>
  <sheetViews>
    <sheetView tabSelected="1" topLeftCell="A40" workbookViewId="0">
      <selection activeCell="D48" sqref="D48"/>
    </sheetView>
  </sheetViews>
  <sheetFormatPr defaultRowHeight="14.25" x14ac:dyDescent="0.45"/>
  <cols>
    <col min="1" max="1" width="28.53125" customWidth="1"/>
    <col min="2" max="2" width="11.59765625" bestFit="1" customWidth="1"/>
    <col min="3" max="3" width="10.06640625" customWidth="1"/>
    <col min="4" max="4" width="40.53125" customWidth="1"/>
    <col min="5" max="5" width="18.6640625" customWidth="1"/>
    <col min="6" max="6" width="9.73046875" bestFit="1" customWidth="1"/>
    <col min="8" max="8" width="23.3984375" customWidth="1"/>
  </cols>
  <sheetData>
    <row r="1" spans="1:6" x14ac:dyDescent="0.45">
      <c r="A1" s="4" t="s">
        <v>81</v>
      </c>
      <c r="B1" s="5"/>
      <c r="C1" s="6"/>
    </row>
    <row r="2" spans="1:6" x14ac:dyDescent="0.45">
      <c r="A2" s="7" t="s">
        <v>0</v>
      </c>
      <c r="B2" s="8">
        <f>17.241*0.000000001</f>
        <v>1.7241000000000002E-8</v>
      </c>
      <c r="C2" s="9" t="s">
        <v>8</v>
      </c>
    </row>
    <row r="3" spans="1:6" x14ac:dyDescent="0.45">
      <c r="A3" s="7" t="s">
        <v>1</v>
      </c>
      <c r="B3" s="8">
        <v>385</v>
      </c>
      <c r="C3" s="9" t="s">
        <v>2</v>
      </c>
    </row>
    <row r="4" spans="1:6" x14ac:dyDescent="0.45">
      <c r="A4" s="7" t="s">
        <v>3</v>
      </c>
      <c r="B4" s="8">
        <f>8.91*1000</f>
        <v>8910</v>
      </c>
      <c r="C4" s="9" t="s">
        <v>4</v>
      </c>
    </row>
    <row r="5" spans="1:6" ht="14.65" thickBot="1" x14ac:dyDescent="0.5">
      <c r="A5" s="13" t="s">
        <v>64</v>
      </c>
      <c r="B5" s="15">
        <v>391.1</v>
      </c>
      <c r="C5" s="16" t="s">
        <v>65</v>
      </c>
    </row>
    <row r="6" spans="1:6" ht="14.65" thickBot="1" x14ac:dyDescent="0.5"/>
    <row r="7" spans="1:6" x14ac:dyDescent="0.45">
      <c r="A7" s="4" t="s">
        <v>82</v>
      </c>
      <c r="B7" s="5"/>
      <c r="C7" s="5"/>
      <c r="D7" s="5"/>
      <c r="E7" s="5"/>
      <c r="F7" s="6"/>
    </row>
    <row r="8" spans="1:6" x14ac:dyDescent="0.45">
      <c r="A8" s="7" t="s">
        <v>5</v>
      </c>
      <c r="B8" s="8">
        <v>30</v>
      </c>
      <c r="C8" s="8" t="s">
        <v>6</v>
      </c>
      <c r="D8" s="8" t="s">
        <v>39</v>
      </c>
      <c r="E8" s="8"/>
      <c r="F8" s="9"/>
    </row>
    <row r="9" spans="1:6" x14ac:dyDescent="0.45">
      <c r="A9" s="7" t="s">
        <v>7</v>
      </c>
      <c r="B9" s="8">
        <v>2.1000000000000001E-2</v>
      </c>
      <c r="C9" s="8" t="s">
        <v>6</v>
      </c>
      <c r="D9" s="8" t="s">
        <v>9</v>
      </c>
      <c r="E9" s="8"/>
      <c r="F9" s="9"/>
    </row>
    <row r="10" spans="1:6" x14ac:dyDescent="0.45">
      <c r="A10" s="7" t="s">
        <v>31</v>
      </c>
      <c r="B10" s="8">
        <v>0.75</v>
      </c>
      <c r="C10" s="8" t="s">
        <v>32</v>
      </c>
      <c r="D10" s="8" t="s">
        <v>33</v>
      </c>
      <c r="E10" s="8"/>
      <c r="F10" s="9"/>
    </row>
    <row r="11" spans="1:6" x14ac:dyDescent="0.45">
      <c r="A11" s="7" t="s">
        <v>29</v>
      </c>
      <c r="B11" s="19">
        <f>PI()*B9^2 / 4</f>
        <v>3.4636059005827474E-4</v>
      </c>
      <c r="C11" s="8" t="s">
        <v>11</v>
      </c>
      <c r="D11" s="8" t="s">
        <v>12</v>
      </c>
      <c r="E11" s="8"/>
      <c r="F11" s="9"/>
    </row>
    <row r="12" spans="1:6" x14ac:dyDescent="0.45">
      <c r="A12" s="7" t="s">
        <v>30</v>
      </c>
      <c r="B12" s="19">
        <f>B11*B10</f>
        <v>2.5977044254370604E-4</v>
      </c>
      <c r="C12" s="8" t="s">
        <v>11</v>
      </c>
      <c r="D12" s="8" t="s">
        <v>38</v>
      </c>
      <c r="E12" s="8"/>
      <c r="F12" s="9"/>
    </row>
    <row r="13" spans="1:6" x14ac:dyDescent="0.45">
      <c r="A13" s="7" t="s">
        <v>13</v>
      </c>
      <c r="B13" s="19">
        <f>B8*B12</f>
        <v>7.7931132763111814E-3</v>
      </c>
      <c r="C13" s="8" t="s">
        <v>14</v>
      </c>
      <c r="D13" s="8"/>
      <c r="E13" s="8"/>
      <c r="F13" s="9"/>
    </row>
    <row r="14" spans="1:6" x14ac:dyDescent="0.45">
      <c r="A14" s="7" t="s">
        <v>15</v>
      </c>
      <c r="B14" s="11">
        <f>B4*B3*B13</f>
        <v>26733.106127394061</v>
      </c>
      <c r="C14" s="8" t="s">
        <v>16</v>
      </c>
      <c r="D14" s="8"/>
      <c r="E14" s="8"/>
      <c r="F14" s="9"/>
    </row>
    <row r="15" spans="1:6" x14ac:dyDescent="0.45">
      <c r="A15" s="7" t="s">
        <v>87</v>
      </c>
      <c r="B15" s="25">
        <f>B2*B8/B12</f>
        <v>1.9911041261477498E-3</v>
      </c>
      <c r="C15" s="8" t="s">
        <v>24</v>
      </c>
      <c r="D15" s="8" t="s">
        <v>86</v>
      </c>
      <c r="E15" s="8"/>
      <c r="F15" s="9"/>
    </row>
    <row r="16" spans="1:6" ht="14.65" thickBot="1" x14ac:dyDescent="0.5">
      <c r="A16" s="13" t="s">
        <v>88</v>
      </c>
      <c r="B16" s="26">
        <v>1E-3</v>
      </c>
      <c r="C16" s="27" t="s">
        <v>24</v>
      </c>
      <c r="D16" s="15" t="s">
        <v>85</v>
      </c>
      <c r="E16" s="15"/>
      <c r="F16" s="16"/>
    </row>
    <row r="17" spans="1:8" ht="14.65" thickBot="1" x14ac:dyDescent="0.5">
      <c r="B17" s="2"/>
      <c r="C17" s="21"/>
      <c r="D17" s="8"/>
    </row>
    <row r="18" spans="1:8" x14ac:dyDescent="0.45">
      <c r="A18" s="4" t="s">
        <v>79</v>
      </c>
      <c r="B18" s="5"/>
      <c r="C18" s="5"/>
      <c r="D18" s="6"/>
      <c r="E18" s="20" t="s">
        <v>80</v>
      </c>
      <c r="F18" s="5"/>
      <c r="G18" s="5"/>
      <c r="H18" s="6"/>
    </row>
    <row r="19" spans="1:8" x14ac:dyDescent="0.45">
      <c r="A19" s="7" t="s">
        <v>25</v>
      </c>
      <c r="B19" s="8">
        <v>1500</v>
      </c>
      <c r="C19" s="8" t="s">
        <v>10</v>
      </c>
      <c r="D19" s="9" t="s">
        <v>36</v>
      </c>
      <c r="E19" s="8" t="s">
        <v>57</v>
      </c>
      <c r="F19" s="8">
        <v>1.23</v>
      </c>
      <c r="G19" s="8" t="s">
        <v>4</v>
      </c>
      <c r="H19" s="9"/>
    </row>
    <row r="20" spans="1:8" x14ac:dyDescent="0.45">
      <c r="A20" s="7" t="s">
        <v>28</v>
      </c>
      <c r="B20" s="10">
        <f>B19*(B15 + B16)</f>
        <v>4.486656189221625</v>
      </c>
      <c r="C20" s="8" t="s">
        <v>13</v>
      </c>
      <c r="D20" s="9" t="s">
        <v>35</v>
      </c>
      <c r="E20" s="8" t="s">
        <v>58</v>
      </c>
      <c r="F20" s="17">
        <v>1.4800000000000001E-5</v>
      </c>
      <c r="G20" s="8" t="s">
        <v>60</v>
      </c>
      <c r="H20" s="9"/>
    </row>
    <row r="21" spans="1:8" x14ac:dyDescent="0.45">
      <c r="A21" s="7" t="s">
        <v>89</v>
      </c>
      <c r="B21" s="11">
        <f>B19^2 * B15</f>
        <v>4479.9842838324375</v>
      </c>
      <c r="C21" s="8" t="s">
        <v>17</v>
      </c>
      <c r="D21" s="12" t="s">
        <v>76</v>
      </c>
      <c r="E21" s="8" t="s">
        <v>71</v>
      </c>
      <c r="F21" s="17">
        <v>2.5700000000000001E-2</v>
      </c>
      <c r="G21" s="8" t="s">
        <v>65</v>
      </c>
      <c r="H21" s="9"/>
    </row>
    <row r="22" spans="1:8" x14ac:dyDescent="0.45">
      <c r="A22" s="7"/>
      <c r="B22" s="11">
        <f>B21/B8</f>
        <v>149.33280946108124</v>
      </c>
      <c r="C22" s="21" t="s">
        <v>75</v>
      </c>
      <c r="D22" s="23" t="s">
        <v>78</v>
      </c>
      <c r="E22" s="8" t="s">
        <v>72</v>
      </c>
      <c r="F22" s="17">
        <v>3.6900000000000001E-3</v>
      </c>
      <c r="G22" s="8" t="s">
        <v>54</v>
      </c>
      <c r="H22" s="9" t="s">
        <v>70</v>
      </c>
    </row>
    <row r="23" spans="1:8" x14ac:dyDescent="0.45">
      <c r="A23" s="7" t="s">
        <v>90</v>
      </c>
      <c r="B23" s="24">
        <f>B21/B14</f>
        <v>0.16758188376926725</v>
      </c>
      <c r="C23" s="8" t="s">
        <v>18</v>
      </c>
      <c r="D23" s="9"/>
      <c r="E23" s="8" t="s">
        <v>55</v>
      </c>
      <c r="F23" s="8">
        <v>0.7</v>
      </c>
      <c r="G23" s="8" t="s">
        <v>32</v>
      </c>
      <c r="H23" s="9" t="s">
        <v>83</v>
      </c>
    </row>
    <row r="24" spans="1:8" x14ac:dyDescent="0.45">
      <c r="A24" s="7" t="s">
        <v>19</v>
      </c>
      <c r="B24" s="8">
        <v>180</v>
      </c>
      <c r="C24" s="8" t="s">
        <v>23</v>
      </c>
      <c r="D24" s="9"/>
      <c r="E24" s="8" t="s">
        <v>56</v>
      </c>
      <c r="F24" s="8">
        <v>9.81</v>
      </c>
      <c r="G24" s="8" t="s">
        <v>59</v>
      </c>
      <c r="H24" s="9"/>
    </row>
    <row r="25" spans="1:8" x14ac:dyDescent="0.45">
      <c r="A25" s="7" t="s">
        <v>20</v>
      </c>
      <c r="B25" s="8">
        <v>200</v>
      </c>
      <c r="C25" s="8" t="s">
        <v>23</v>
      </c>
      <c r="D25" s="9"/>
      <c r="E25" s="8" t="s">
        <v>61</v>
      </c>
      <c r="F25" s="8">
        <v>20</v>
      </c>
      <c r="G25" s="8" t="s">
        <v>23</v>
      </c>
      <c r="H25" s="9"/>
    </row>
    <row r="26" spans="1:8" x14ac:dyDescent="0.45">
      <c r="A26" s="7" t="s">
        <v>34</v>
      </c>
      <c r="B26" s="8">
        <f>B25-B24</f>
        <v>20</v>
      </c>
      <c r="C26" s="8" t="s">
        <v>22</v>
      </c>
      <c r="D26" s="9"/>
      <c r="E26" s="8" t="s">
        <v>62</v>
      </c>
      <c r="F26" s="8">
        <f>B37-F25</f>
        <v>17</v>
      </c>
      <c r="G26" s="8" t="s">
        <v>22</v>
      </c>
      <c r="H26" s="9"/>
    </row>
    <row r="27" spans="1:8" x14ac:dyDescent="0.45">
      <c r="A27" s="7" t="s">
        <v>21</v>
      </c>
      <c r="B27" s="11">
        <f>B26/B23</f>
        <v>119.344642452741</v>
      </c>
      <c r="C27" s="8" t="s">
        <v>26</v>
      </c>
      <c r="D27" s="9"/>
      <c r="E27" s="8" t="s">
        <v>69</v>
      </c>
      <c r="F27" s="17">
        <f>F24*F22*F26*B35^3/F20^2</f>
        <v>4977106.9722849727</v>
      </c>
      <c r="G27" s="8" t="s">
        <v>32</v>
      </c>
      <c r="H27" s="9" t="s">
        <v>73</v>
      </c>
    </row>
    <row r="28" spans="1:8" x14ac:dyDescent="0.45">
      <c r="A28" s="7"/>
      <c r="B28" s="11">
        <f>B27/60</f>
        <v>1.98907737421235</v>
      </c>
      <c r="C28" s="8" t="s">
        <v>27</v>
      </c>
      <c r="D28" s="9"/>
      <c r="E28" s="8" t="s">
        <v>68</v>
      </c>
      <c r="F28" s="17">
        <f>F27*F23</f>
        <v>3483974.8805994806</v>
      </c>
      <c r="G28" s="8" t="s">
        <v>32</v>
      </c>
      <c r="H28" s="9" t="s">
        <v>74</v>
      </c>
    </row>
    <row r="29" spans="1:8" x14ac:dyDescent="0.45">
      <c r="A29" s="7"/>
      <c r="B29" s="8"/>
      <c r="C29" s="8"/>
      <c r="D29" s="9"/>
      <c r="E29" s="8" t="s">
        <v>63</v>
      </c>
      <c r="F29" s="17">
        <f>(F21/B35) * (0.6 + (0.387*F28^(1/6))/(1+(0.559/F23)^(9/16))^(8/27))^2</f>
        <v>4.3997597534205362</v>
      </c>
      <c r="G29" s="8" t="s">
        <v>66</v>
      </c>
      <c r="H29" s="9"/>
    </row>
    <row r="30" spans="1:8" ht="14.65" thickBot="1" x14ac:dyDescent="0.5">
      <c r="A30" s="13"/>
      <c r="B30" s="14"/>
      <c r="C30" s="15"/>
      <c r="D30" s="16"/>
      <c r="E30" s="22" t="s">
        <v>67</v>
      </c>
      <c r="F30" s="14">
        <f>F29*PI()*B35*F26</f>
        <v>28.432374254189632</v>
      </c>
      <c r="G30" s="15" t="s">
        <v>75</v>
      </c>
      <c r="H30" s="18" t="s">
        <v>77</v>
      </c>
    </row>
    <row r="31" spans="1:8" ht="14.65" thickBot="1" x14ac:dyDescent="0.5">
      <c r="A31" s="3"/>
      <c r="B31" s="1"/>
    </row>
    <row r="32" spans="1:8" x14ac:dyDescent="0.45">
      <c r="A32" s="4" t="s">
        <v>95</v>
      </c>
      <c r="B32" s="5"/>
      <c r="C32" s="5"/>
      <c r="D32" s="5"/>
      <c r="E32" s="5"/>
      <c r="F32" s="6"/>
    </row>
    <row r="33" spans="1:11" x14ac:dyDescent="0.45">
      <c r="A33" s="40" t="s">
        <v>97</v>
      </c>
      <c r="B33" s="17">
        <v>0.05</v>
      </c>
      <c r="C33" s="8" t="s">
        <v>6</v>
      </c>
      <c r="D33" s="8" t="s">
        <v>96</v>
      </c>
      <c r="E33" s="8"/>
      <c r="F33" s="9"/>
    </row>
    <row r="34" spans="1:11" x14ac:dyDescent="0.45">
      <c r="A34" s="7" t="s">
        <v>98</v>
      </c>
      <c r="B34" s="8">
        <v>0.05</v>
      </c>
      <c r="C34" s="8" t="s">
        <v>65</v>
      </c>
      <c r="D34" s="8" t="s">
        <v>101</v>
      </c>
      <c r="E34" s="8"/>
      <c r="F34" s="9"/>
    </row>
    <row r="35" spans="1:11" x14ac:dyDescent="0.45">
      <c r="A35" s="7" t="s">
        <v>99</v>
      </c>
      <c r="B35" s="24">
        <f>B9+2*B33</f>
        <v>0.12100000000000001</v>
      </c>
      <c r="C35" s="8" t="s">
        <v>6</v>
      </c>
      <c r="D35" s="8" t="s">
        <v>100</v>
      </c>
      <c r="E35" s="8"/>
      <c r="F35" s="9"/>
    </row>
    <row r="36" spans="1:11" x14ac:dyDescent="0.45">
      <c r="A36" s="7" t="s">
        <v>106</v>
      </c>
      <c r="B36" s="10">
        <f>LN(B35/B9)/(2*PI()*B34)</f>
        <v>5.5744595209445835</v>
      </c>
      <c r="C36" s="8" t="s">
        <v>105</v>
      </c>
      <c r="D36" s="8" t="s">
        <v>107</v>
      </c>
      <c r="E36" s="8"/>
      <c r="F36" s="9"/>
    </row>
    <row r="37" spans="1:11" x14ac:dyDescent="0.45">
      <c r="A37" s="7" t="s">
        <v>102</v>
      </c>
      <c r="B37" s="42">
        <v>37</v>
      </c>
      <c r="C37" s="8" t="s">
        <v>23</v>
      </c>
      <c r="D37" s="8" t="s">
        <v>103</v>
      </c>
      <c r="E37" s="8"/>
      <c r="F37" s="9"/>
    </row>
    <row r="38" spans="1:11" x14ac:dyDescent="0.45">
      <c r="A38" s="7" t="s">
        <v>108</v>
      </c>
      <c r="B38" s="42">
        <f>B25-B37</f>
        <v>163</v>
      </c>
      <c r="C38" s="8" t="s">
        <v>22</v>
      </c>
      <c r="D38" s="8" t="s">
        <v>109</v>
      </c>
      <c r="E38" s="8"/>
      <c r="F38" s="9"/>
    </row>
    <row r="39" spans="1:11" x14ac:dyDescent="0.45">
      <c r="A39" s="7" t="s">
        <v>104</v>
      </c>
      <c r="B39" s="11">
        <f>B38/B36</f>
        <v>29.240502938010376</v>
      </c>
      <c r="C39" s="8" t="s">
        <v>75</v>
      </c>
      <c r="D39" s="8" t="s">
        <v>110</v>
      </c>
      <c r="E39" s="8"/>
      <c r="F39" s="9"/>
    </row>
    <row r="40" spans="1:11" ht="14.65" thickBot="1" x14ac:dyDescent="0.5">
      <c r="A40" s="41" t="s">
        <v>111</v>
      </c>
      <c r="B40" s="14">
        <f>B39-F30</f>
        <v>0.80812868382074399</v>
      </c>
      <c r="C40" s="27" t="s">
        <v>75</v>
      </c>
      <c r="D40" s="27" t="s">
        <v>112</v>
      </c>
      <c r="E40" s="15"/>
      <c r="F40" s="16"/>
    </row>
    <row r="41" spans="1:11" x14ac:dyDescent="0.45">
      <c r="I41" s="30"/>
      <c r="J41" s="30"/>
      <c r="K41" s="31"/>
    </row>
    <row r="42" spans="1:11" x14ac:dyDescent="0.45">
      <c r="A42" s="28" t="s">
        <v>40</v>
      </c>
      <c r="B42" s="29" t="s">
        <v>42</v>
      </c>
      <c r="C42" s="29" t="s">
        <v>94</v>
      </c>
      <c r="D42" s="29" t="s">
        <v>93</v>
      </c>
      <c r="E42" s="30"/>
      <c r="F42" s="30"/>
      <c r="G42" s="30"/>
      <c r="H42" s="30"/>
      <c r="I42" s="8"/>
      <c r="J42" s="8"/>
      <c r="K42" s="34"/>
    </row>
    <row r="43" spans="1:11" x14ac:dyDescent="0.45">
      <c r="A43" s="32" t="s">
        <v>47</v>
      </c>
      <c r="B43" s="33">
        <v>12000</v>
      </c>
      <c r="C43" s="8">
        <v>1</v>
      </c>
      <c r="D43" s="8" t="s">
        <v>48</v>
      </c>
      <c r="E43" s="8" t="s">
        <v>37</v>
      </c>
      <c r="F43" s="8"/>
      <c r="G43" s="8"/>
      <c r="H43" s="8"/>
      <c r="I43" s="8"/>
      <c r="J43" s="8"/>
      <c r="K43" s="34"/>
    </row>
    <row r="44" spans="1:11" x14ac:dyDescent="0.45">
      <c r="A44" s="35" t="s">
        <v>41</v>
      </c>
      <c r="B44" s="33">
        <f>59*C44</f>
        <v>236</v>
      </c>
      <c r="C44" s="8">
        <v>4</v>
      </c>
      <c r="D44" s="8" t="s">
        <v>43</v>
      </c>
      <c r="E44" s="8"/>
      <c r="F44" s="8"/>
      <c r="G44" s="8"/>
      <c r="H44" s="8"/>
      <c r="I44" s="8"/>
      <c r="J44" s="8"/>
      <c r="K44" s="34"/>
    </row>
    <row r="45" spans="1:11" x14ac:dyDescent="0.45">
      <c r="A45" s="32" t="s">
        <v>92</v>
      </c>
      <c r="B45" s="33">
        <v>1432</v>
      </c>
      <c r="C45" s="8">
        <v>1</v>
      </c>
      <c r="D45" s="8" t="s">
        <v>44</v>
      </c>
      <c r="E45" s="8" t="s">
        <v>45</v>
      </c>
      <c r="F45" s="8"/>
      <c r="G45" s="8"/>
      <c r="H45" s="8"/>
      <c r="I45" s="8"/>
      <c r="J45" s="8"/>
      <c r="K45" s="34"/>
    </row>
    <row r="46" spans="1:11" x14ac:dyDescent="0.45">
      <c r="A46" s="32" t="s">
        <v>50</v>
      </c>
      <c r="B46" s="33">
        <v>777</v>
      </c>
      <c r="C46" s="8">
        <v>1</v>
      </c>
      <c r="D46" s="8" t="s">
        <v>84</v>
      </c>
      <c r="E46" s="8"/>
      <c r="F46" s="8"/>
      <c r="G46" s="8"/>
      <c r="H46" s="8"/>
      <c r="I46" s="8"/>
      <c r="J46" s="8"/>
      <c r="K46" s="34"/>
    </row>
    <row r="47" spans="1:11" x14ac:dyDescent="0.45">
      <c r="A47" s="32" t="s">
        <v>49</v>
      </c>
      <c r="B47" s="33">
        <v>400</v>
      </c>
      <c r="C47" s="8">
        <v>1</v>
      </c>
      <c r="D47" s="8" t="s">
        <v>51</v>
      </c>
      <c r="E47" s="8"/>
      <c r="F47" s="8"/>
      <c r="G47" s="8"/>
      <c r="H47" s="8"/>
      <c r="I47" s="8"/>
      <c r="J47" s="8"/>
      <c r="K47" s="34"/>
    </row>
    <row r="48" spans="1:11" x14ac:dyDescent="0.45">
      <c r="A48" s="32" t="s">
        <v>52</v>
      </c>
      <c r="B48" s="33">
        <v>300</v>
      </c>
      <c r="C48" s="8">
        <v>4</v>
      </c>
      <c r="D48" s="8" t="s">
        <v>53</v>
      </c>
      <c r="E48" s="8"/>
      <c r="F48" s="8"/>
      <c r="G48" s="8"/>
      <c r="H48" s="8"/>
      <c r="I48" s="8"/>
      <c r="J48" s="8"/>
      <c r="K48" s="34"/>
    </row>
    <row r="49" spans="1:11" x14ac:dyDescent="0.45">
      <c r="A49" s="32" t="s">
        <v>91</v>
      </c>
      <c r="B49" s="33">
        <v>1000</v>
      </c>
      <c r="C49" s="8">
        <v>2</v>
      </c>
      <c r="D49" s="8" t="s">
        <v>53</v>
      </c>
      <c r="E49" s="8"/>
      <c r="F49" s="8"/>
      <c r="G49" s="8"/>
      <c r="H49" s="8"/>
      <c r="I49" s="38"/>
      <c r="J49" s="38"/>
      <c r="K49" s="39"/>
    </row>
    <row r="50" spans="1:11" x14ac:dyDescent="0.45">
      <c r="A50" s="36" t="s">
        <v>46</v>
      </c>
      <c r="B50" s="37">
        <f>SUM(B43:B49)</f>
        <v>16145</v>
      </c>
      <c r="C50" s="38"/>
      <c r="D50" s="38"/>
      <c r="E50" s="38"/>
      <c r="F50" s="38"/>
      <c r="G50" s="38"/>
      <c r="H50" s="38"/>
    </row>
  </sheetData>
  <hyperlinks>
    <hyperlink ref="A44" r:id="rId1" display="https://www.mcmaster.com/4550T121" xr:uid="{69D1A45E-45FE-4AB1-BE22-0B753BE53A0F}"/>
  </hyperlinks>
  <pageMargins left="0.7" right="0.7" top="0.75" bottom="0.75" header="0.3" footer="0.3"/>
  <pageSetup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Resistive - 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Logan</dc:creator>
  <cp:lastModifiedBy>James Logan</cp:lastModifiedBy>
  <dcterms:created xsi:type="dcterms:W3CDTF">2020-09-17T19:08:29Z</dcterms:created>
  <dcterms:modified xsi:type="dcterms:W3CDTF">2020-09-23T12:52:57Z</dcterms:modified>
</cp:coreProperties>
</file>