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xr:revisionPtr revIDLastSave="0" documentId="13_ncr:1_{878E4E86-CEBA-4C79-8FC9-9B05F04871C8}" xr6:coauthVersionLast="46" xr6:coauthVersionMax="46" xr10:uidLastSave="{00000000-0000-0000-0000-000000000000}"/>
  <bookViews>
    <workbookView xWindow="-120" yWindow="-120" windowWidth="29040" windowHeight="15525" tabRatio="660" xr2:uid="{00000000-000D-0000-FFFF-FFFF00000000}"/>
  </bookViews>
  <sheets>
    <sheet name="Notes" sheetId="8" r:id="rId1"/>
    <sheet name="Economic Data and Calculations" sheetId="2" r:id="rId2"/>
    <sheet name="CapEx and Funding" sheetId="4" r:id="rId3"/>
    <sheet name="Cost-Benefit Analysis" sheetId="7" r:id="rId4"/>
    <sheet name="Minister Brief (sample answers)" sheetId="5" r:id="rId5"/>
  </sheets>
  <externalReferences>
    <externalReference r:id="rId6"/>
  </externalReferences>
  <definedNames>
    <definedName name="DiscountRate">[1]Parameters!$C$8</definedName>
    <definedName name="_xlnm.Print_Area" localSheetId="1">'Economic Data and Calculations'!$A$1:$K$121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6" i="7" l="1"/>
  <c r="F41" i="2"/>
  <c r="R15" i="7" s="1"/>
  <c r="C41" i="2"/>
  <c r="C40" i="2"/>
  <c r="O14" i="7" s="1"/>
  <c r="R14" i="7"/>
  <c r="H14" i="7"/>
  <c r="E16" i="5"/>
  <c r="F37" i="2"/>
  <c r="E37" i="2"/>
  <c r="D37" i="2"/>
  <c r="C37" i="2"/>
  <c r="B37" i="2"/>
  <c r="A65" i="2"/>
  <c r="A64" i="2"/>
  <c r="A63" i="2"/>
  <c r="R17" i="7"/>
  <c r="B58" i="2"/>
  <c r="B57" i="2"/>
  <c r="P16" i="7"/>
  <c r="Q16" i="7"/>
  <c r="O16" i="7"/>
  <c r="E40" i="2"/>
  <c r="Q14" i="7" s="1"/>
  <c r="F40" i="2"/>
  <c r="B40" i="2"/>
  <c r="N14" i="7" s="1"/>
  <c r="E41" i="2"/>
  <c r="Q15" i="7" s="1"/>
  <c r="M13" i="7"/>
  <c r="C36" i="2"/>
  <c r="D36" i="2"/>
  <c r="D40" i="2" s="1"/>
  <c r="P14" i="7" s="1"/>
  <c r="E36" i="2"/>
  <c r="F36" i="2"/>
  <c r="B36" i="2"/>
  <c r="B41" i="2" s="1"/>
  <c r="N15" i="7" s="1"/>
  <c r="B17" i="2"/>
  <c r="B16" i="2"/>
  <c r="B15" i="2"/>
  <c r="O15" i="7" l="1"/>
  <c r="D41" i="2"/>
  <c r="P15" i="7" s="1"/>
  <c r="O23" i="7"/>
  <c r="F16" i="5"/>
  <c r="D16" i="5"/>
  <c r="F11" i="5"/>
  <c r="E11" i="5"/>
  <c r="D11" i="5"/>
  <c r="C21" i="7"/>
  <c r="C14" i="7"/>
  <c r="C16" i="7"/>
  <c r="C17" i="7"/>
  <c r="C15" i="7"/>
  <c r="M22" i="7"/>
  <c r="C22" i="7" s="1"/>
  <c r="N22" i="7"/>
  <c r="N21" i="7"/>
  <c r="M21" i="7"/>
  <c r="C23" i="7" l="1"/>
  <c r="C13" i="7"/>
  <c r="M18" i="7" l="1"/>
  <c r="S16" i="7"/>
  <c r="N23" i="7"/>
  <c r="P23" i="7"/>
  <c r="Q23" i="7"/>
  <c r="R23" i="7"/>
  <c r="M23" i="7"/>
  <c r="S22" i="7"/>
  <c r="S21" i="7"/>
  <c r="C18" i="7"/>
  <c r="N6" i="7"/>
  <c r="O6" i="7" l="1"/>
  <c r="N7" i="7"/>
  <c r="D13" i="7" s="1"/>
  <c r="S23" i="7"/>
  <c r="S13" i="7"/>
  <c r="D16" i="7" l="1"/>
  <c r="D21" i="7"/>
  <c r="D22" i="7"/>
  <c r="D17" i="7"/>
  <c r="P6" i="7"/>
  <c r="O7" i="7"/>
  <c r="E13" i="7" s="1"/>
  <c r="N5" i="4"/>
  <c r="O4" i="4"/>
  <c r="K4" i="4" s="1"/>
  <c r="O3" i="4"/>
  <c r="K3" i="4" s="1"/>
  <c r="K5" i="4" s="1"/>
  <c r="G4" i="4"/>
  <c r="G5" i="4"/>
  <c r="G6" i="4"/>
  <c r="G7" i="4"/>
  <c r="G8" i="4"/>
  <c r="G9" i="4"/>
  <c r="G10" i="4"/>
  <c r="G11" i="4"/>
  <c r="G12" i="4"/>
  <c r="G13" i="4"/>
  <c r="G14" i="4"/>
  <c r="G3" i="4"/>
  <c r="F17" i="4"/>
  <c r="F16" i="4"/>
  <c r="C16" i="4"/>
  <c r="C17" i="4"/>
  <c r="B17" i="4"/>
  <c r="B16" i="4"/>
  <c r="E21" i="7" l="1"/>
  <c r="E22" i="7"/>
  <c r="E17" i="7"/>
  <c r="E16" i="7"/>
  <c r="D23" i="7"/>
  <c r="Q6" i="7"/>
  <c r="P7" i="7"/>
  <c r="F13" i="7" s="1"/>
  <c r="S17" i="7"/>
  <c r="L4" i="4"/>
  <c r="L3" i="4"/>
  <c r="L5" i="4" s="1"/>
  <c r="M4" i="4"/>
  <c r="M3" i="4"/>
  <c r="M5" i="4" s="1"/>
  <c r="J3" i="4"/>
  <c r="J4" i="4"/>
  <c r="E23" i="7" l="1"/>
  <c r="R6" i="7"/>
  <c r="R7" i="7" s="1"/>
  <c r="H13" i="7" s="1"/>
  <c r="I13" i="7" s="1"/>
  <c r="Q7" i="7"/>
  <c r="G13" i="7" s="1"/>
  <c r="F22" i="7"/>
  <c r="F21" i="7"/>
  <c r="F16" i="7"/>
  <c r="F17" i="7"/>
  <c r="J5" i="4"/>
  <c r="F23" i="7" l="1"/>
  <c r="G17" i="7"/>
  <c r="G16" i="7"/>
  <c r="G22" i="7"/>
  <c r="G21" i="7"/>
  <c r="H22" i="7"/>
  <c r="H21" i="7"/>
  <c r="H16" i="7"/>
  <c r="I16" i="7" s="1"/>
  <c r="H17" i="7"/>
  <c r="E14" i="7"/>
  <c r="I14" i="7" s="1"/>
  <c r="G14" i="7"/>
  <c r="F14" i="7"/>
  <c r="I22" i="7" l="1"/>
  <c r="I17" i="7"/>
  <c r="H23" i="7"/>
  <c r="G23" i="7"/>
  <c r="I21" i="7"/>
  <c r="I23" i="7" s="1"/>
  <c r="D15" i="7"/>
  <c r="S15" i="7"/>
  <c r="N18" i="7"/>
  <c r="G15" i="7"/>
  <c r="G18" i="7" s="1"/>
  <c r="Q18" i="7"/>
  <c r="D14" i="7"/>
  <c r="S14" i="7"/>
  <c r="E15" i="7"/>
  <c r="E18" i="7" s="1"/>
  <c r="O18" i="7"/>
  <c r="H15" i="7"/>
  <c r="H18" i="7" s="1"/>
  <c r="R18" i="7"/>
  <c r="F15" i="7"/>
  <c r="F18" i="7" s="1"/>
  <c r="P18" i="7"/>
  <c r="C6" i="7" l="1"/>
  <c r="S18" i="7"/>
  <c r="I15" i="7"/>
  <c r="I18" i="7" s="1"/>
  <c r="C5" i="7" s="1"/>
  <c r="D18" i="7"/>
  <c r="C8" i="7" l="1"/>
  <c r="C7" i="7"/>
  <c r="C9" i="7" s="1"/>
</calcChain>
</file>

<file path=xl/sharedStrings.xml><?xml version="1.0" encoding="utf-8"?>
<sst xmlns="http://schemas.openxmlformats.org/spreadsheetml/2006/main" count="236" uniqueCount="143">
  <si>
    <t>Costs</t>
  </si>
  <si>
    <t>Central estimate</t>
  </si>
  <si>
    <t xml:space="preserve">Consumer Surplus </t>
  </si>
  <si>
    <t>Data to calculate economic benefits</t>
  </si>
  <si>
    <t>Source</t>
  </si>
  <si>
    <t>Visitation</t>
  </si>
  <si>
    <t>Interstate</t>
  </si>
  <si>
    <t>International</t>
  </si>
  <si>
    <t>Use/Comment</t>
  </si>
  <si>
    <t>Avoided costs</t>
  </si>
  <si>
    <t>REAL</t>
  </si>
  <si>
    <t>Benefits</t>
  </si>
  <si>
    <t>Labour Surplus from induced visitation</t>
  </si>
  <si>
    <t>Producer Surplus from induced visitation</t>
  </si>
  <si>
    <t>Returns to NSW residents (WTP results)</t>
  </si>
  <si>
    <t>Residual value of project assets</t>
  </si>
  <si>
    <t>Tourism Demand</t>
  </si>
  <si>
    <t>Length of stay (nights)</t>
  </si>
  <si>
    <t>Year 1 (‘000)</t>
  </si>
  <si>
    <t>Year 2 (‘000)</t>
  </si>
  <si>
    <t>Year 3 (‘000)</t>
  </si>
  <si>
    <t>Year 4 (‘000)</t>
  </si>
  <si>
    <t>Year 5 (‘000)</t>
  </si>
  <si>
    <t>Residual value</t>
  </si>
  <si>
    <t>Asset life (years)</t>
  </si>
  <si>
    <t>Land</t>
  </si>
  <si>
    <t>Total Benefits</t>
  </si>
  <si>
    <t>Total</t>
  </si>
  <si>
    <t>NSW Government Funding</t>
  </si>
  <si>
    <t>Other NSW project funding</t>
  </si>
  <si>
    <t>Total Costs</t>
  </si>
  <si>
    <t>Discount rate</t>
  </si>
  <si>
    <t>PRESENT VALUE</t>
  </si>
  <si>
    <t>NPV</t>
  </si>
  <si>
    <t>BCR</t>
  </si>
  <si>
    <t>NPV/I</t>
  </si>
  <si>
    <t>Power generator (fencing)</t>
  </si>
  <si>
    <t xml:space="preserve">Veterinary hospital and rehabilitation research construction </t>
  </si>
  <si>
    <t>Accommodation construction</t>
  </si>
  <si>
    <t>Holding pens (x12)</t>
  </si>
  <si>
    <t>Pathways and viewing platforms</t>
  </si>
  <si>
    <t>Heavy lift vehicles (x12)</t>
  </si>
  <si>
    <t>Ranger patrol vehicles (x12)</t>
  </si>
  <si>
    <t>Base estimate</t>
  </si>
  <si>
    <t>Contingency</t>
  </si>
  <si>
    <t>$ million</t>
  </si>
  <si>
    <t>Cross-check</t>
  </si>
  <si>
    <t>Stage</t>
  </si>
  <si>
    <t>2022/23</t>
  </si>
  <si>
    <t>2023/24</t>
  </si>
  <si>
    <t>2024/25</t>
  </si>
  <si>
    <t>2021/22</t>
  </si>
  <si>
    <t>Capital Expenditure</t>
  </si>
  <si>
    <t>Funding</t>
  </si>
  <si>
    <t>Brief to Minister</t>
  </si>
  <si>
    <t>$ '000</t>
  </si>
  <si>
    <t>Sensitivity Switches</t>
  </si>
  <si>
    <t>Consumer Surplus</t>
  </si>
  <si>
    <t>Labour surplus, induced visitation from interstate and international.</t>
  </si>
  <si>
    <t>Producer surplus, induced visitation from interstate and international.</t>
  </si>
  <si>
    <t>Asset life</t>
  </si>
  <si>
    <t>Yes, three.</t>
  </si>
  <si>
    <t>5 years</t>
  </si>
  <si>
    <t>10 years</t>
  </si>
  <si>
    <t>CapEx to NSW Government and Council, both 100% NSW-owned.</t>
  </si>
  <si>
    <t>Excluded</t>
  </si>
  <si>
    <t>The proponent claims visitation by NSW residents. They have not provided a reliable source for estimated visitation, have made up the nightly spend and this has double counting with the WTP survey results for consumer surplus.</t>
  </si>
  <si>
    <t>Assumptions</t>
  </si>
  <si>
    <t>Proponent can fund their portion of CapEx.</t>
  </si>
  <si>
    <t>Task: You are assessing the proponent's application. Prepare a rapid CBA for the construction period and 5 years of operations.</t>
  </si>
  <si>
    <t>Comments</t>
  </si>
  <si>
    <t xml:space="preserve">TPP17-03 states that a discount rate sensitivity rate should be included. </t>
  </si>
  <si>
    <t>Intervention Results Summary</t>
  </si>
  <si>
    <t>Summary</t>
  </si>
  <si>
    <t>Benefits PV $'000</t>
  </si>
  <si>
    <t>Project Year</t>
  </si>
  <si>
    <t>Costs PV $'000</t>
  </si>
  <si>
    <t>Discount Rate Factor</t>
  </si>
  <si>
    <t>Net Present Value (NPV)</t>
  </si>
  <si>
    <t xml:space="preserve">Benefit/Cost ratio (BCR) </t>
  </si>
  <si>
    <t>Net Present Value (NPV) / Investment</t>
  </si>
  <si>
    <t>Benefits (Present Value '000s)</t>
  </si>
  <si>
    <t>Costs (Present Value '000s)</t>
  </si>
  <si>
    <t>Central estimate = $10 per household</t>
  </si>
  <si>
    <t>Sensitivity 1 = $7.5 per household</t>
  </si>
  <si>
    <t>Sensitivity 2 = $12 per household</t>
  </si>
  <si>
    <t xml:space="preserve">Real cost </t>
  </si>
  <si>
    <t>2. Which sensitivity tests would be appropriate for this CBA? Please run the sensitivity tests and report the results in BCR, NPV and NPV/I.</t>
  </si>
  <si>
    <t>3. What are the main sources of benefits and costs in the central estimate (in net present value)? Which benefit types claimed by the proponent have you chosen to exclude, and why?</t>
  </si>
  <si>
    <t>1. What are the project's results for the central estimate (BCR, NPV, NPV/I)? What are the key assumptions?</t>
  </si>
  <si>
    <t>Surplus</t>
  </si>
  <si>
    <t>Producer</t>
  </si>
  <si>
    <t>Labour</t>
  </si>
  <si>
    <t>WTP</t>
  </si>
  <si>
    <t>FY22</t>
  </si>
  <si>
    <t>FY23</t>
  </si>
  <si>
    <t>FY24</t>
  </si>
  <si>
    <t>FY25</t>
  </si>
  <si>
    <t>FY26</t>
  </si>
  <si>
    <t>FY27</t>
  </si>
  <si>
    <t>Economic Data and Calculations</t>
  </si>
  <si>
    <t>Data</t>
  </si>
  <si>
    <t>Willingness to pay</t>
  </si>
  <si>
    <t>Notes</t>
  </si>
  <si>
    <t>Sensitivity - 95% confidence lower bound</t>
  </si>
  <si>
    <t>Sensitivity - 95% confidence upper bound</t>
  </si>
  <si>
    <t>NSW households</t>
  </si>
  <si>
    <t xml:space="preserve">2016 ABS figure. Would be more accurate to estimate growth since 2016, but this isn't in scope for this assessment. </t>
  </si>
  <si>
    <t>Calculation</t>
  </si>
  <si>
    <t>Consumer surplus</t>
  </si>
  <si>
    <t>Evidence for estimates provided by trusted Government source</t>
  </si>
  <si>
    <t>Presented in the table below</t>
  </si>
  <si>
    <t>Nightly spend</t>
  </si>
  <si>
    <t>Interstate visitors</t>
  </si>
  <si>
    <t>International visitors</t>
  </si>
  <si>
    <t>Producer surplus as a percentage of tourism spend</t>
  </si>
  <si>
    <t>Labour surplus as a percentage of tourism spend</t>
  </si>
  <si>
    <t>NSW visitors. Not relevant for analysis as consumer surplus is already estimated in the WTP results. Additionally, the source is unreliable.</t>
  </si>
  <si>
    <t>Tourism Spend</t>
  </si>
  <si>
    <t>Dropbear economic costs</t>
  </si>
  <si>
    <t>Annual cost of dropbear impact incurred by Opal Lakes Volunteer Brigade</t>
  </si>
  <si>
    <t>Annual cost of dropbear impact incurred by NSW farmers. Not relevant for analysis as this cost has been superseded by the Volunteer Brigade.</t>
  </si>
  <si>
    <t>Sensitivity</t>
  </si>
  <si>
    <t>Costs ($m)</t>
  </si>
  <si>
    <t>Total cost of project</t>
  </si>
  <si>
    <t>NSW Government share of funding</t>
  </si>
  <si>
    <t>Opal Lakes share of funding</t>
  </si>
  <si>
    <t>Same use with or without the project funding, so can be excluded from analysis.</t>
  </si>
  <si>
    <t>COSTS/FUNDING</t>
  </si>
  <si>
    <t>Conservation Park fencing and video monitoring</t>
  </si>
  <si>
    <t xml:space="preserve">Road, Amenities and Visitor information centre, including car park, etc. construction </t>
  </si>
  <si>
    <t>NSW Government (LEDF)</t>
  </si>
  <si>
    <t>Proponent (OLSC)</t>
  </si>
  <si>
    <t>WTP ($/household)</t>
  </si>
  <si>
    <t>CapEx and Operations overlap, so 6 year analysis period.</t>
  </si>
  <si>
    <t>Consumer surplus sensitivity has been included as it has a strong impact on the CBA results, it is material at 95% confidence interval lower bound.</t>
  </si>
  <si>
    <t>Sensitivity - 95% confidence interval lower bound</t>
  </si>
  <si>
    <t>Sensitivity - 95% confidence interval upper bound</t>
  </si>
  <si>
    <t>If asset life can be extended then there is a strong positive impact on CBA results.</t>
  </si>
  <si>
    <t>Avoided costs to NSW residents (Opal Lakes Volunteer Brigade), these are separate to below calculations of consumer, producer and labour surplus.</t>
  </si>
  <si>
    <t>Proponent surplus (Residual asset value to Opal Lakes Shire Council)</t>
  </si>
  <si>
    <t>Consumer surplus, source data from rigorous WTP survey results that avoids double counting with avoided costs below.</t>
  </si>
  <si>
    <t>Avoided costs only apply for 4 years as the Opal Lakes Volunteer Brigade only ceases functioning once construction is fully 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</si>
</sst>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6" formatCode="&quot;$&quot;#,##0;[Red]\-&quot;$&quot;#,##0"/>
    <numFmt numFmtId="8" formatCode="&quot;$&quot;#,##0.00;[Red]\-&quot;$&quot;#,##0.00"/>
    <numFmt numFmtId="164" formatCode="&quot;$&quot;#,##0.00_);[Red]\(&quot;$&quot;#,##0.00\)"/>
    <numFmt numFmtId="165" formatCode="0.0%"/>
    <numFmt numFmtId="166" formatCode="#,##0.0_);\(#,##0.0\);&quot;- &quot;"/>
    <numFmt numFmtId="167" formatCode="_(* #,##0.0_);_(* \(#,##0.0\);_(* &quot;-&quot;??_);_(@_)"/>
    <numFmt numFmtId="168" formatCode="#,##0_);\(#,##0\);&quot;- &quot;"/>
    <numFmt numFmtId="169" formatCode="[Color10]#,##0_);[Color30]\(#,##0\);&quot;- &quot;"/>
    <numFmt numFmtId="170" formatCode="#,##0.0%_);\(#,##0.0%\);&quot;- &quot;"/>
    <numFmt numFmtId="171" formatCode="[Color10]#,##0.00_);[Color30]\(#,##0.00\);&quot;- &quot;"/>
    <numFmt numFmtId="172" formatCode="_(* #,##0_);_(* \(#,##0\);_(* &quot;-&quot;??_);_(@_)"/>
    <numFmt numFmtId="173" formatCode="&quot;$&quot;#,##0.00_-;\(&quot;$&quot;#,##0.00\);\-_;"/>
    <numFmt numFmtId="174" formatCode="#,##0_-;\(#,##0\);\-_;"/>
    <numFmt numFmtId="175" formatCode="&quot;$&quot;#,##0_-;\(&quot;$&quot;#,##0\);\-_;"/>
    <numFmt numFmtId="176" formatCode="#,##0.00_-;\(#,##0.00\);\-_;"/>
  </numFmts>
  <fonts count="20" x14ac:knownFonts="1">
    <font>
      <sz val="11"/>
      <color theme="1"/>
      <name val="Calibri"/>
      <family val="2"/>
      <scheme val="minor"/>
    </font>
    <font>
      <sz val="11"/>
      <color theme="1"/>
      <name val="Calibri"/>
      <family val="2"/>
      <scheme val="minor"/>
    </font>
    <font>
      <sz val="11"/>
      <color rgb="FF9C0006"/>
      <name val="Calibri"/>
      <family val="2"/>
      <scheme val="minor"/>
    </font>
    <font>
      <b/>
      <sz val="11"/>
      <color theme="1"/>
      <name val="Calibri"/>
      <family val="2"/>
      <scheme val="minor"/>
    </font>
    <font>
      <sz val="9"/>
      <color rgb="FFFFFFFF"/>
      <name val="Calibri"/>
      <family val="2"/>
      <scheme val="minor"/>
    </font>
    <font>
      <b/>
      <sz val="9"/>
      <color rgb="FFFFFFFF"/>
      <name val="Calibri"/>
      <family val="2"/>
      <scheme val="minor"/>
    </font>
    <font>
      <sz val="9"/>
      <color rgb="FF000000"/>
      <name val="Calibri"/>
      <family val="2"/>
      <scheme val="minor"/>
    </font>
    <font>
      <sz val="9"/>
      <color theme="1"/>
      <name val="Calibri"/>
      <family val="2"/>
      <scheme val="minor"/>
    </font>
    <font>
      <b/>
      <sz val="9"/>
      <color rgb="FF000000"/>
      <name val="Calibri"/>
      <family val="2"/>
      <scheme val="minor"/>
    </font>
    <font>
      <b/>
      <i/>
      <sz val="11"/>
      <color theme="1"/>
      <name val="Calibri"/>
      <family val="2"/>
      <scheme val="minor"/>
    </font>
    <font>
      <i/>
      <sz val="11"/>
      <color theme="1"/>
      <name val="Calibri"/>
      <family val="2"/>
      <scheme val="minor"/>
    </font>
    <font>
      <b/>
      <sz val="11"/>
      <color theme="0"/>
      <name val="Calibri Light"/>
      <family val="2"/>
      <scheme val="major"/>
    </font>
    <font>
      <b/>
      <sz val="12"/>
      <color rgb="FF0070C0"/>
      <name val="Calibri Light"/>
      <family val="2"/>
      <scheme val="major"/>
    </font>
    <font>
      <sz val="11"/>
      <color rgb="FF2F75B5"/>
      <name val="Calibri Light"/>
      <family val="2"/>
      <scheme val="major"/>
    </font>
    <font>
      <b/>
      <sz val="11"/>
      <name val="Calibri Light"/>
      <family val="2"/>
      <scheme val="major"/>
    </font>
    <font>
      <sz val="11"/>
      <name val="Calibri Light"/>
      <family val="2"/>
      <scheme val="major"/>
    </font>
    <font>
      <sz val="11"/>
      <color theme="1"/>
      <name val="Calibri Light"/>
      <family val="2"/>
      <scheme val="major"/>
    </font>
    <font>
      <b/>
      <sz val="11"/>
      <color theme="1"/>
      <name val="Calibri Light"/>
      <family val="2"/>
      <scheme val="major"/>
    </font>
    <font>
      <b/>
      <sz val="10"/>
      <name val="Calibri Light"/>
      <family val="2"/>
      <scheme val="major"/>
    </font>
    <font>
      <sz val="10"/>
      <name val="Calibri Light"/>
      <family val="2"/>
      <scheme val="major"/>
    </font>
  </fonts>
  <fills count="13">
    <fill>
      <patternFill patternType="none"/>
    </fill>
    <fill>
      <patternFill patternType="gray125"/>
    </fill>
    <fill>
      <patternFill patternType="solid">
        <fgColor rgb="FFFFC7CE"/>
      </patternFill>
    </fill>
    <fill>
      <patternFill patternType="solid">
        <fgColor theme="4" tint="0.79998168889431442"/>
        <bgColor indexed="64"/>
      </patternFill>
    </fill>
    <fill>
      <patternFill patternType="solid">
        <fgColor rgb="FF5B9BD5"/>
        <bgColor indexed="64"/>
      </patternFill>
    </fill>
    <fill>
      <patternFill patternType="solid">
        <fgColor rgb="FFDEEAF6"/>
        <bgColor indexed="64"/>
      </patternFill>
    </fill>
    <fill>
      <patternFill patternType="solid">
        <fgColor theme="2"/>
        <bgColor indexed="64"/>
      </patternFill>
    </fill>
    <fill>
      <patternFill patternType="solid">
        <fgColor rgb="FFBDD6EE"/>
        <bgColor indexed="64"/>
      </patternFill>
    </fill>
    <fill>
      <patternFill patternType="solid">
        <fgColor rgb="FF002060"/>
        <bgColor indexed="64"/>
      </patternFill>
    </fill>
    <fill>
      <patternFill patternType="solid">
        <fgColor rgb="FFDDEBF7"/>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rgb="FFFFE6E6"/>
        <bgColor indexed="64"/>
      </patternFill>
    </fill>
  </fills>
  <borders count="12">
    <border>
      <left/>
      <right/>
      <top/>
      <bottom/>
      <diagonal/>
    </border>
    <border>
      <left style="medium">
        <color rgb="FF5B9BD5"/>
      </left>
      <right/>
      <top style="medium">
        <color rgb="FF5B9BD5"/>
      </top>
      <bottom style="medium">
        <color rgb="FF5B9BD5"/>
      </bottom>
      <diagonal/>
    </border>
    <border>
      <left/>
      <right/>
      <top style="medium">
        <color rgb="FF5B9BD5"/>
      </top>
      <bottom style="medium">
        <color rgb="FF5B9BD5"/>
      </bottom>
      <diagonal/>
    </border>
    <border>
      <left/>
      <right style="medium">
        <color rgb="FF5B9BD5"/>
      </right>
      <top style="medium">
        <color rgb="FF5B9BD5"/>
      </top>
      <bottom style="medium">
        <color rgb="FF5B9BD5"/>
      </bottom>
      <diagonal/>
    </border>
    <border>
      <left style="medium">
        <color rgb="FF9CC2E5"/>
      </left>
      <right/>
      <top/>
      <bottom style="medium">
        <color rgb="FF9CC2E5"/>
      </bottom>
      <diagonal/>
    </border>
    <border>
      <left/>
      <right/>
      <top/>
      <bottom style="medium">
        <color rgb="FF9CC2E5"/>
      </bottom>
      <diagonal/>
    </border>
    <border>
      <left/>
      <right style="medium">
        <color rgb="FF9CC2E5"/>
      </right>
      <top/>
      <bottom style="medium">
        <color rgb="FF9CC2E5"/>
      </bottom>
      <diagonal/>
    </border>
    <border>
      <left style="hair">
        <color theme="6"/>
      </left>
      <right style="hair">
        <color theme="6"/>
      </right>
      <top style="hair">
        <color theme="6"/>
      </top>
      <bottom style="hair">
        <color theme="6"/>
      </bottom>
      <diagonal/>
    </border>
    <border>
      <left/>
      <right/>
      <top/>
      <bottom style="thin">
        <color indexed="64"/>
      </bottom>
      <diagonal/>
    </border>
    <border>
      <left style="dotted">
        <color theme="6"/>
      </left>
      <right style="dotted">
        <color theme="6"/>
      </right>
      <top style="dotted">
        <color theme="6"/>
      </top>
      <bottom style="dotted">
        <color theme="6"/>
      </bottom>
      <diagonal/>
    </border>
    <border>
      <left style="thin">
        <color theme="6"/>
      </left>
      <right style="thin">
        <color theme="0"/>
      </right>
      <top style="thin">
        <color theme="6"/>
      </top>
      <bottom style="thin">
        <color theme="0"/>
      </bottom>
      <diagonal/>
    </border>
    <border>
      <left style="hair">
        <color theme="6"/>
      </left>
      <right style="hair">
        <color theme="6"/>
      </right>
      <top style="thin">
        <color theme="6"/>
      </top>
      <bottom style="hair">
        <color theme="6"/>
      </bottom>
      <diagonal/>
    </border>
  </borders>
  <cellStyleXfs count="12">
    <xf numFmtId="0" fontId="0" fillId="0" borderId="0"/>
    <xf numFmtId="0" fontId="2" fillId="2" borderId="0" applyNumberFormat="0" applyBorder="0" applyAlignment="0" applyProtection="0"/>
    <xf numFmtId="9" fontId="1" fillId="0" borderId="0" applyFont="0" applyFill="0" applyBorder="0" applyAlignment="0" applyProtection="0"/>
    <xf numFmtId="49" fontId="11" fillId="8" borderId="0">
      <alignment vertical="center"/>
    </xf>
    <xf numFmtId="166" fontId="12" fillId="0" borderId="0"/>
    <xf numFmtId="0" fontId="13" fillId="9" borderId="7" applyNumberFormat="0">
      <alignment vertical="center"/>
      <protection locked="0"/>
    </xf>
    <xf numFmtId="9" fontId="13" fillId="9" borderId="7">
      <protection locked="0"/>
    </xf>
    <xf numFmtId="167" fontId="15" fillId="0" borderId="9"/>
    <xf numFmtId="168" fontId="11" fillId="8" borderId="10">
      <alignment horizontal="center" vertical="center" wrapText="1"/>
    </xf>
    <xf numFmtId="169" fontId="16" fillId="0" borderId="9"/>
    <xf numFmtId="170" fontId="15" fillId="0" borderId="9"/>
    <xf numFmtId="168" fontId="17" fillId="10" borderId="11"/>
  </cellStyleXfs>
  <cellXfs count="95">
    <xf numFmtId="0" fontId="0" fillId="0" borderId="0" xfId="0"/>
    <xf numFmtId="0" fontId="3" fillId="0" borderId="0" xfId="0" applyFont="1"/>
    <xf numFmtId="0" fontId="6" fillId="5" borderId="4" xfId="0" applyFont="1" applyFill="1" applyBorder="1" applyAlignment="1">
      <alignment horizontal="justify" vertical="center" wrapText="1"/>
    </xf>
    <xf numFmtId="0" fontId="7" fillId="0" borderId="4" xfId="0" applyFont="1" applyBorder="1" applyAlignment="1">
      <alignment horizontal="justify" vertical="center" wrapText="1"/>
    </xf>
    <xf numFmtId="0" fontId="8" fillId="5" borderId="4" xfId="0" applyFont="1" applyFill="1" applyBorder="1" applyAlignment="1">
      <alignment horizontal="justify" vertical="center" wrapText="1"/>
    </xf>
    <xf numFmtId="0" fontId="4" fillId="4" borderId="1" xfId="0" applyFont="1" applyFill="1" applyBorder="1" applyAlignment="1">
      <alignment horizontal="left" vertical="center" wrapText="1"/>
    </xf>
    <xf numFmtId="0" fontId="4" fillId="4" borderId="2" xfId="0" applyFont="1" applyFill="1" applyBorder="1" applyAlignment="1">
      <alignment horizontal="right" vertical="center" wrapText="1"/>
    </xf>
    <xf numFmtId="0" fontId="4" fillId="4" borderId="3" xfId="0" applyFont="1" applyFill="1" applyBorder="1" applyAlignment="1">
      <alignment horizontal="right" vertical="center" wrapText="1"/>
    </xf>
    <xf numFmtId="0" fontId="0" fillId="6" borderId="0" xfId="0" applyFill="1"/>
    <xf numFmtId="164" fontId="0" fillId="6" borderId="0" xfId="0" applyNumberFormat="1" applyFill="1"/>
    <xf numFmtId="0" fontId="0" fillId="3" borderId="0" xfId="0" applyFill="1"/>
    <xf numFmtId="0" fontId="6" fillId="5" borderId="4" xfId="0" applyFont="1" applyFill="1" applyBorder="1" applyAlignment="1">
      <alignment horizontal="left" vertical="center" wrapText="1"/>
    </xf>
    <xf numFmtId="0" fontId="7" fillId="0" borderId="4" xfId="0" applyFont="1" applyBorder="1" applyAlignment="1">
      <alignment horizontal="left" vertical="center" wrapText="1"/>
    </xf>
    <xf numFmtId="2" fontId="0" fillId="0" borderId="0" xfId="0" applyNumberFormat="1"/>
    <xf numFmtId="0" fontId="0" fillId="0" borderId="0" xfId="0" applyFont="1"/>
    <xf numFmtId="0" fontId="9" fillId="0" borderId="0" xfId="0" applyFont="1"/>
    <xf numFmtId="0" fontId="10" fillId="0" borderId="0" xfId="0" applyFont="1"/>
    <xf numFmtId="49" fontId="11" fillId="8" borderId="0" xfId="3">
      <alignment vertical="center"/>
    </xf>
    <xf numFmtId="166" fontId="12" fillId="0" borderId="0" xfId="4"/>
    <xf numFmtId="49" fontId="14" fillId="0" borderId="8" xfId="3" applyFont="1" applyFill="1" applyBorder="1">
      <alignment vertical="center"/>
    </xf>
    <xf numFmtId="167" fontId="15" fillId="0" borderId="0" xfId="7" applyBorder="1"/>
    <xf numFmtId="168" fontId="11" fillId="8" borderId="10" xfId="8">
      <alignment horizontal="center" vertical="center" wrapText="1"/>
    </xf>
    <xf numFmtId="167" fontId="15" fillId="0" borderId="9" xfId="7"/>
    <xf numFmtId="2" fontId="15" fillId="0" borderId="9" xfId="7" applyNumberFormat="1"/>
    <xf numFmtId="170" fontId="15" fillId="0" borderId="9" xfId="10"/>
    <xf numFmtId="167" fontId="14" fillId="0" borderId="9" xfId="7" applyFont="1"/>
    <xf numFmtId="169" fontId="17" fillId="0" borderId="9" xfId="9" applyFont="1"/>
    <xf numFmtId="167" fontId="18" fillId="0" borderId="9" xfId="7" applyFont="1"/>
    <xf numFmtId="171" fontId="17" fillId="0" borderId="9" xfId="9" applyNumberFormat="1" applyFont="1"/>
    <xf numFmtId="167" fontId="19" fillId="0" borderId="9" xfId="7" applyFont="1"/>
    <xf numFmtId="171" fontId="16" fillId="0" borderId="9" xfId="9" applyNumberFormat="1"/>
    <xf numFmtId="166" fontId="12" fillId="10" borderId="0" xfId="4" applyFill="1"/>
    <xf numFmtId="1" fontId="11" fillId="8" borderId="10" xfId="8" applyNumberFormat="1">
      <alignment horizontal="center" vertical="center" wrapText="1"/>
    </xf>
    <xf numFmtId="0" fontId="11" fillId="8" borderId="10" xfId="8" applyNumberFormat="1">
      <alignment horizontal="center" vertical="center" wrapText="1"/>
    </xf>
    <xf numFmtId="167" fontId="15" fillId="10" borderId="9" xfId="7" applyFill="1"/>
    <xf numFmtId="168" fontId="17" fillId="10" borderId="11" xfId="11"/>
    <xf numFmtId="167" fontId="13" fillId="9" borderId="7" xfId="5" applyNumberFormat="1">
      <alignment vertical="center"/>
      <protection locked="0"/>
    </xf>
    <xf numFmtId="10" fontId="15" fillId="0" borderId="9" xfId="7" applyNumberFormat="1"/>
    <xf numFmtId="9" fontId="13" fillId="9" borderId="7" xfId="2" applyFont="1" applyFill="1" applyBorder="1" applyAlignment="1" applyProtection="1">
      <alignment vertical="center"/>
      <protection locked="0"/>
    </xf>
    <xf numFmtId="10" fontId="15" fillId="0" borderId="9" xfId="2" applyNumberFormat="1" applyFont="1" applyBorder="1"/>
    <xf numFmtId="4" fontId="0" fillId="0" borderId="0" xfId="0" applyNumberFormat="1"/>
    <xf numFmtId="3" fontId="0" fillId="0" borderId="0" xfId="0" applyNumberFormat="1"/>
    <xf numFmtId="0" fontId="0" fillId="0" borderId="0" xfId="0" applyAlignment="1">
      <alignment horizontal="right"/>
    </xf>
    <xf numFmtId="6" fontId="15" fillId="0" borderId="9" xfId="7" applyNumberFormat="1"/>
    <xf numFmtId="8" fontId="15" fillId="0" borderId="9" xfId="7" applyNumberFormat="1"/>
    <xf numFmtId="172" fontId="15" fillId="0" borderId="9" xfId="7" applyNumberFormat="1"/>
    <xf numFmtId="173" fontId="0" fillId="0" borderId="0" xfId="0" applyNumberFormat="1" applyAlignment="1">
      <alignment horizontal="right" vertical="center"/>
    </xf>
    <xf numFmtId="174" fontId="0" fillId="0" borderId="0" xfId="0" applyNumberFormat="1" applyAlignment="1">
      <alignment horizontal="right"/>
    </xf>
    <xf numFmtId="174" fontId="0" fillId="0" borderId="0" xfId="0" applyNumberFormat="1" applyAlignment="1">
      <alignment horizontal="right" vertical="center"/>
    </xf>
    <xf numFmtId="173" fontId="13" fillId="9" borderId="7" xfId="5" applyNumberFormat="1" applyAlignment="1">
      <alignment horizontal="right" vertical="center"/>
      <protection locked="0"/>
    </xf>
    <xf numFmtId="0" fontId="5" fillId="4" borderId="2" xfId="0" applyFont="1" applyFill="1" applyBorder="1" applyAlignment="1">
      <alignment horizontal="right" wrapText="1"/>
    </xf>
    <xf numFmtId="0" fontId="5" fillId="4" borderId="3" xfId="0" applyFont="1" applyFill="1" applyBorder="1" applyAlignment="1">
      <alignment horizontal="right" wrapText="1"/>
    </xf>
    <xf numFmtId="174" fontId="6" fillId="7" borderId="5" xfId="0" applyNumberFormat="1" applyFont="1" applyFill="1" applyBorder="1" applyAlignment="1">
      <alignment horizontal="right" vertical="center"/>
    </xf>
    <xf numFmtId="174" fontId="6" fillId="5" borderId="5" xfId="0" applyNumberFormat="1" applyFont="1" applyFill="1" applyBorder="1" applyAlignment="1">
      <alignment horizontal="right" vertical="center"/>
    </xf>
    <xf numFmtId="174" fontId="6" fillId="5" borderId="6" xfId="0" applyNumberFormat="1" applyFont="1" applyFill="1" applyBorder="1" applyAlignment="1">
      <alignment horizontal="right" vertical="center"/>
    </xf>
    <xf numFmtId="174" fontId="7" fillId="0" borderId="5" xfId="0" applyNumberFormat="1" applyFont="1" applyBorder="1" applyAlignment="1">
      <alignment horizontal="right" vertical="center"/>
    </xf>
    <xf numFmtId="174" fontId="7" fillId="0" borderId="6" xfId="0" applyNumberFormat="1" applyFont="1" applyBorder="1" applyAlignment="1">
      <alignment horizontal="right" vertical="center"/>
    </xf>
    <xf numFmtId="175" fontId="0" fillId="0" borderId="0" xfId="0" applyNumberFormat="1" applyAlignment="1">
      <alignment horizontal="right" vertical="center"/>
    </xf>
    <xf numFmtId="9" fontId="0" fillId="0" borderId="0" xfId="2" applyNumberFormat="1" applyFont="1"/>
    <xf numFmtId="176" fontId="0" fillId="0" borderId="0" xfId="0" applyNumberFormat="1" applyAlignment="1">
      <alignment horizontal="right" vertical="center"/>
    </xf>
    <xf numFmtId="173" fontId="7" fillId="0" borderId="5" xfId="0" applyNumberFormat="1" applyFont="1" applyBorder="1" applyAlignment="1">
      <alignment horizontal="right"/>
    </xf>
    <xf numFmtId="173" fontId="7" fillId="0" borderId="6" xfId="0" applyNumberFormat="1" applyFont="1" applyBorder="1" applyAlignment="1">
      <alignment horizontal="right"/>
    </xf>
    <xf numFmtId="173" fontId="6" fillId="5" borderId="5" xfId="0" applyNumberFormat="1" applyFont="1" applyFill="1" applyBorder="1" applyAlignment="1">
      <alignment horizontal="right"/>
    </xf>
    <xf numFmtId="173" fontId="6" fillId="5" borderId="6" xfId="0" applyNumberFormat="1" applyFont="1" applyFill="1" applyBorder="1" applyAlignment="1">
      <alignment horizontal="right"/>
    </xf>
    <xf numFmtId="173" fontId="8" fillId="5" borderId="5" xfId="0" applyNumberFormat="1" applyFont="1" applyFill="1" applyBorder="1" applyAlignment="1">
      <alignment horizontal="right"/>
    </xf>
    <xf numFmtId="173" fontId="8" fillId="5" borderId="6" xfId="0" applyNumberFormat="1" applyFont="1" applyFill="1" applyBorder="1" applyAlignment="1">
      <alignment horizontal="right"/>
    </xf>
    <xf numFmtId="173" fontId="7" fillId="0" borderId="0" xfId="0" applyNumberFormat="1" applyFont="1" applyAlignment="1">
      <alignment horizontal="right"/>
    </xf>
    <xf numFmtId="165" fontId="7" fillId="0" borderId="0" xfId="2" applyNumberFormat="1" applyFont="1" applyAlignment="1"/>
    <xf numFmtId="173" fontId="7" fillId="3" borderId="0" xfId="0" applyNumberFormat="1" applyFont="1" applyFill="1" applyAlignment="1">
      <alignment horizontal="right"/>
    </xf>
    <xf numFmtId="0" fontId="7" fillId="0" borderId="0" xfId="0" applyFont="1" applyAlignment="1"/>
    <xf numFmtId="169" fontId="16" fillId="0" borderId="9" xfId="9" applyNumberFormat="1"/>
    <xf numFmtId="169" fontId="17" fillId="0" borderId="9" xfId="9" applyNumberFormat="1" applyFont="1"/>
    <xf numFmtId="1" fontId="11" fillId="8" borderId="10" xfId="8" applyNumberFormat="1" applyAlignment="1">
      <alignment horizontal="right" vertical="center" wrapText="1"/>
    </xf>
    <xf numFmtId="0" fontId="11" fillId="8" borderId="10" xfId="8" applyNumberFormat="1" applyAlignment="1">
      <alignment horizontal="right" vertical="center" wrapText="1"/>
    </xf>
    <xf numFmtId="174" fontId="15" fillId="0" borderId="9" xfId="7" applyNumberFormat="1" applyAlignment="1">
      <alignment horizontal="right" vertical="center"/>
    </xf>
    <xf numFmtId="174" fontId="17" fillId="10" borderId="11" xfId="11" applyNumberFormat="1" applyAlignment="1">
      <alignment horizontal="right" vertical="center"/>
    </xf>
    <xf numFmtId="174" fontId="15" fillId="10" borderId="9" xfId="7" applyNumberFormat="1" applyFill="1" applyAlignment="1">
      <alignment horizontal="right" vertical="center"/>
    </xf>
    <xf numFmtId="0" fontId="3" fillId="3" borderId="0" xfId="0" applyFont="1" applyFill="1"/>
    <xf numFmtId="0" fontId="3" fillId="0" borderId="0" xfId="0" applyFont="1" applyAlignment="1">
      <alignment horizontal="right"/>
    </xf>
    <xf numFmtId="9" fontId="3" fillId="3" borderId="0" xfId="0" applyNumberFormat="1" applyFont="1" applyFill="1"/>
    <xf numFmtId="0" fontId="3" fillId="3" borderId="0" xfId="0" applyFont="1" applyFill="1" applyAlignment="1">
      <alignment horizontal="right"/>
    </xf>
    <xf numFmtId="0" fontId="3" fillId="11" borderId="0" xfId="0" applyFont="1" applyFill="1"/>
    <xf numFmtId="0" fontId="0" fillId="11" borderId="0" xfId="0" applyFill="1"/>
    <xf numFmtId="0" fontId="3" fillId="12" borderId="0" xfId="0" applyFont="1" applyFill="1"/>
    <xf numFmtId="0" fontId="0" fillId="12" borderId="0" xfId="0" applyFill="1"/>
    <xf numFmtId="0" fontId="3" fillId="10" borderId="0" xfId="0" applyFont="1" applyFill="1"/>
    <xf numFmtId="0" fontId="0" fillId="10" borderId="0" xfId="0" applyFill="1"/>
    <xf numFmtId="0" fontId="0" fillId="0" borderId="0" xfId="0" applyAlignment="1">
      <alignment vertical="top"/>
    </xf>
    <xf numFmtId="174" fontId="14" fillId="10" borderId="9" xfId="7" applyNumberFormat="1" applyFont="1" applyFill="1" applyAlignment="1">
      <alignment horizontal="right" vertical="center"/>
    </xf>
    <xf numFmtId="174" fontId="14" fillId="0" borderId="9" xfId="7" applyNumberFormat="1" applyFont="1" applyAlignment="1">
      <alignment horizontal="right" vertical="center"/>
    </xf>
    <xf numFmtId="0" fontId="3" fillId="11" borderId="0" xfId="0" applyFont="1" applyFill="1" applyAlignment="1">
      <alignment horizontal="right"/>
    </xf>
    <xf numFmtId="173" fontId="3" fillId="3" borderId="0" xfId="0" applyNumberFormat="1" applyFont="1" applyFill="1" applyAlignment="1">
      <alignment horizontal="right" vertical="center"/>
    </xf>
    <xf numFmtId="0" fontId="3" fillId="0" borderId="0" xfId="0" applyFont="1" applyFill="1"/>
    <xf numFmtId="3" fontId="0" fillId="0" borderId="0" xfId="0" applyNumberFormat="1" applyFill="1"/>
    <xf numFmtId="4" fontId="0" fillId="0" borderId="0" xfId="0" applyNumberFormat="1" applyFill="1"/>
  </cellXfs>
  <cellStyles count="12">
    <cellStyle name="Bad 2" xfId="1" xr:uid="{B03EBECC-4434-4525-8FB0-19D98432DF3E}"/>
    <cellStyle name="Calc_num" xfId="7" xr:uid="{7F84172A-5951-462B-A44B-7A5D38108FAC}"/>
    <cellStyle name="Calc_Perc" xfId="10" xr:uid="{C17778C8-ABAA-4D3C-B45F-A283AC9F659C}"/>
    <cellStyle name="Cell.Input" xfId="5" xr:uid="{6B045C91-CF9F-4977-879E-C74B564FA8F0}"/>
    <cellStyle name="Cell.Input.Perc" xfId="6" xr:uid="{751E40A9-7C3E-4797-99D2-05909DFE5822}"/>
    <cellStyle name="Header" xfId="4" xr:uid="{782A1C90-5938-4AA3-8A5B-331F183D7332}"/>
    <cellStyle name="Header Number" xfId="8" xr:uid="{9D16B900-10F3-47C2-973E-9F4D39B9295B}"/>
    <cellStyle name="Normal" xfId="0" builtinId="0"/>
    <cellStyle name="Percent" xfId="2" builtinId="5"/>
    <cellStyle name="Section Header 1 2" xfId="3" xr:uid="{53E4BD05-D8CC-4BE5-9A11-A35DEE789DEB}"/>
    <cellStyle name="Subtotal" xfId="11" xr:uid="{BF3085C1-C83F-4068-84D7-C8B852F632B5}"/>
    <cellStyle name="Variance" xfId="9" xr:uid="{FAB2BCE6-F715-4835-A7D2-FBD169E329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tyles" Target="styles.xml" Id="rId8" /><Relationship Type="http://schemas.openxmlformats.org/officeDocument/2006/relationships/worksheet" Target="worksheets/sheet3.xml" Id="rId3" /><Relationship Type="http://schemas.openxmlformats.org/officeDocument/2006/relationships/theme" Target="theme/theme1.xml" Id="rId7"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externalLink" Target="externalLinks/externalLink1.xml" Id="rId6" /><Relationship Type="http://schemas.openxmlformats.org/officeDocument/2006/relationships/worksheet" Target="worksheets/sheet5.xml" Id="rId5" /><Relationship Type="http://schemas.openxmlformats.org/officeDocument/2006/relationships/calcChain" Target="calcChain.xml" Id="rId10" /><Relationship Type="http://schemas.openxmlformats.org/officeDocument/2006/relationships/worksheet" Target="worksheets/sheet4.xml" Id="rId4" /><Relationship Type="http://schemas.openxmlformats.org/officeDocument/2006/relationships/sharedStrings" Target="sharedStrings.xml" Id="rId9" /><Relationship Type="http://schemas.openxmlformats.org/officeDocument/2006/relationships/customXml" Target="/customXML/item2.xml" Id="R917838f90e0947f1" /></Relationships>
</file>

<file path=xl/drawings/drawing1.xml><?xml version="1.0" encoding="utf-8"?>
<xdr:wsDr xmlns:xdr="http://schemas.openxmlformats.org/drawingml/2006/spreadsheetDrawing" xmlns:a="http://schemas.openxmlformats.org/drawingml/2006/main">
  <xdr:twoCellAnchor>
    <xdr:from>
      <xdr:col>0</xdr:col>
      <xdr:colOff>123825</xdr:colOff>
      <xdr:row>1</xdr:row>
      <xdr:rowOff>28575</xdr:rowOff>
    </xdr:from>
    <xdr:to>
      <xdr:col>11</xdr:col>
      <xdr:colOff>9525</xdr:colOff>
      <xdr:row>24</xdr:row>
      <xdr:rowOff>38100</xdr:rowOff>
    </xdr:to>
    <xdr:sp macro="" textlink="">
      <xdr:nvSpPr>
        <xdr:cNvPr id="2" name="TextBox 1">
          <a:extLst>
            <a:ext uri="{FF2B5EF4-FFF2-40B4-BE49-F238E27FC236}">
              <a16:creationId xmlns:a16="http://schemas.microsoft.com/office/drawing/2014/main" id="{54E1C4D7-8133-4139-A418-F9EC3B2490CA}"/>
            </a:ext>
          </a:extLst>
        </xdr:cNvPr>
        <xdr:cNvSpPr txBox="1"/>
      </xdr:nvSpPr>
      <xdr:spPr>
        <a:xfrm>
          <a:off x="123825" y="219075"/>
          <a:ext cx="6591300" cy="4391025"/>
        </a:xfrm>
        <a:prstGeom prst="rect">
          <a:avLst/>
        </a:prstGeom>
        <a:solidFill>
          <a:schemeClr val="accent1">
            <a:lumMod val="20000"/>
            <a:lumOff val="80000"/>
          </a:schemeClr>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AU" sz="1100" b="1"/>
            <a:t>Notes</a:t>
          </a:r>
        </a:p>
        <a:p>
          <a:pPr algn="just"/>
          <a:endParaRPr lang="en-AU" sz="1100" b="1"/>
        </a:p>
        <a:p>
          <a:pPr marL="171450" indent="-171450" algn="just">
            <a:spcAft>
              <a:spcPts val="600"/>
            </a:spcAft>
            <a:buFont typeface="Arial" panose="020B0604020202020204" pitchFamily="34" charset="0"/>
            <a:buChar char="•"/>
          </a:pPr>
          <a:r>
            <a:rPr lang="en-AU" sz="1100" b="0" baseline="0"/>
            <a:t>This spreadsheet contains sample answers. Don't worry if your presentation was different - this is just one way to structure your calculations. What matters is the economic logic you've applied to the task.</a:t>
          </a:r>
        </a:p>
        <a:p>
          <a:pPr marL="171450" indent="-171450" algn="just">
            <a:spcAft>
              <a:spcPts val="600"/>
            </a:spcAft>
            <a:buFont typeface="Arial" panose="020B0604020202020204" pitchFamily="34" charset="0"/>
            <a:buChar char="•"/>
          </a:pPr>
          <a:r>
            <a:rPr lang="en-AU" sz="1100" b="0" baseline="0"/>
            <a:t>We've used cell references wherever possible to ensure that answers are precise and consistent. </a:t>
          </a:r>
        </a:p>
        <a:p>
          <a:pPr algn="just">
            <a:spcAft>
              <a:spcPts val="600"/>
            </a:spcAft>
          </a:pPr>
          <a:r>
            <a:rPr lang="en-AU" sz="1100" b="0" baseline="0"/>
            <a:t>Here are some common errors that you might have run into when completing the task. The business case had a few red herrings in it to test your understanding of CBA principles and economic logic. Compare your work against this worked example to figure out what you might have missed!</a:t>
          </a:r>
        </a:p>
        <a:p>
          <a:pPr marL="171450" indent="-171450" algn="just">
            <a:spcAft>
              <a:spcPts val="600"/>
            </a:spcAft>
            <a:buFont typeface="Arial" panose="020B0604020202020204" pitchFamily="34" charset="0"/>
            <a:buChar char="•"/>
          </a:pPr>
          <a:r>
            <a:rPr lang="en-AU" sz="1100" b="0" baseline="0"/>
            <a:t>Mixing up real and present values - CBA results should be in present value.</a:t>
          </a:r>
        </a:p>
        <a:p>
          <a:pPr marL="171450" indent="-171450" algn="just">
            <a:spcAft>
              <a:spcPts val="600"/>
            </a:spcAft>
            <a:buFont typeface="Arial" panose="020B0604020202020204" pitchFamily="34" charset="0"/>
            <a:buChar char="•"/>
          </a:pPr>
          <a:r>
            <a:rPr lang="en-AU" sz="1100" b="0" baseline="0"/>
            <a:t>Choosing the wrong 'base case' in the avoided cost calculation - the cost to NSW is $15 million per year, incurred by the Volunteer Brigade, not the $20 million per year that was previously incurred by the farmers! They are different groups of people, but they are both NSW residents, so we're only concerned with the final cost.</a:t>
          </a:r>
        </a:p>
        <a:p>
          <a:pPr marL="171450" indent="-171450" algn="just">
            <a:spcAft>
              <a:spcPts val="600"/>
            </a:spcAft>
            <a:buFont typeface="Arial" panose="020B0604020202020204" pitchFamily="34" charset="0"/>
            <a:buChar char="•"/>
          </a:pPr>
          <a:r>
            <a:rPr lang="en-AU" sz="1100" b="0" baseline="0"/>
            <a:t>Double counting visitation from NSW residents - this was already accounted for in the WTP survey, so you should have excluded their visitation expenditure. Also, the source of that data isn't reliable.</a:t>
          </a:r>
        </a:p>
        <a:p>
          <a:pPr marL="171450" indent="-171450" algn="just">
            <a:spcAft>
              <a:spcPts val="600"/>
            </a:spcAft>
            <a:buFont typeface="Arial" panose="020B0604020202020204" pitchFamily="34" charset="0"/>
            <a:buChar char="•"/>
          </a:pPr>
          <a:r>
            <a:rPr lang="en-AU" sz="1100" b="0" baseline="0"/>
            <a:t>Excluding some of the capital items - they all count as capital expenditure and you should include the full amount.</a:t>
          </a:r>
        </a:p>
        <a:p>
          <a:pPr marL="171450" indent="-171450" algn="just">
            <a:spcAft>
              <a:spcPts val="600"/>
            </a:spcAft>
            <a:buFont typeface="Arial" panose="020B0604020202020204" pitchFamily="34" charset="0"/>
            <a:buChar char="•"/>
          </a:pPr>
          <a:r>
            <a:rPr lang="en-AU" sz="1100" b="0" baseline="0"/>
            <a:t>Choosing the wrong appraisal period - the project is constructed over two years, but it begins functioning in the second year of construction. That means there should be six years in the appraisal period. </a:t>
          </a:r>
        </a:p>
        <a:p>
          <a:pPr marL="171450" indent="-171450" algn="just">
            <a:spcAft>
              <a:spcPts val="600"/>
            </a:spcAft>
            <a:buFont typeface="Arial" panose="020B0604020202020204" pitchFamily="34" charset="0"/>
            <a:buChar char="•"/>
          </a:pPr>
          <a:r>
            <a:rPr lang="en-AU" sz="1100" b="0" baseline="0"/>
            <a:t>Assuming five years of avoided costs instead of four - while the project is operational in Year 2 (FY23), the avoided costs do not come into effect until the project is complete in Year 3.</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685240</xdr:colOff>
      <xdr:row>0</xdr:row>
      <xdr:rowOff>124864</xdr:rowOff>
    </xdr:from>
    <xdr:to>
      <xdr:col>8</xdr:col>
      <xdr:colOff>121104</xdr:colOff>
      <xdr:row>7</xdr:row>
      <xdr:rowOff>126545</xdr:rowOff>
    </xdr:to>
    <xdr:sp macro="" textlink="">
      <xdr:nvSpPr>
        <xdr:cNvPr id="2" name="Speech Bubble: Rectangle with Corners Rounded 1">
          <a:extLst>
            <a:ext uri="{FF2B5EF4-FFF2-40B4-BE49-F238E27FC236}">
              <a16:creationId xmlns:a16="http://schemas.microsoft.com/office/drawing/2014/main" id="{7ED12534-A9E1-446C-B0F5-E121C1F50D3A}"/>
            </a:ext>
          </a:extLst>
        </xdr:cNvPr>
        <xdr:cNvSpPr/>
      </xdr:nvSpPr>
      <xdr:spPr>
        <a:xfrm>
          <a:off x="5981140" y="124864"/>
          <a:ext cx="2979164" cy="1268506"/>
        </a:xfrm>
        <a:prstGeom prst="wedgeRoundRectCallout">
          <a:avLst>
            <a:gd name="adj1" fmla="val 65076"/>
            <a:gd name="adj2" fmla="val -52246"/>
            <a:gd name="adj3" fmla="val 16667"/>
          </a:avLst>
        </a:prstGeom>
        <a:solidFill>
          <a:schemeClr val="accent1">
            <a:lumMod val="20000"/>
            <a:lumOff val="80000"/>
          </a:schemeClr>
        </a:solidFill>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1050">
              <a:solidFill>
                <a:schemeClr val="accent5">
                  <a:lumMod val="75000"/>
                </a:schemeClr>
              </a:solidFill>
            </a:rPr>
            <a:t>These</a:t>
          </a:r>
          <a:r>
            <a:rPr lang="en-AU" sz="1050" baseline="0">
              <a:solidFill>
                <a:schemeClr val="accent5">
                  <a:lumMod val="75000"/>
                </a:schemeClr>
              </a:solidFill>
            </a:rPr>
            <a:t> sensitivity switches allow us to use IF statements in the tables below to quickly perform sensitivity tests. If you aren't experienced with Excel, it's okay if you presented sensitivity results through multiple tables instead.</a:t>
          </a:r>
          <a:endParaRPr lang="en-AU" sz="1050">
            <a:solidFill>
              <a:schemeClr val="accent5">
                <a:lumMod val="75000"/>
              </a:schemeClr>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20CBA%20Mode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ers"/>
      <sheetName val="Sensitivities"/>
      <sheetName val="Tables"/>
      <sheetName val="MAIN"/>
      <sheetName val="Funding"/>
      <sheetName val="TableswCF"/>
      <sheetName val="MAINwCF"/>
      <sheetName val="IRR"/>
      <sheetName val="Aggregating"/>
      <sheetName val="BusinessTempDisp2"/>
      <sheetName val="BusinessTemp"/>
      <sheetName val="Business1"/>
      <sheetName val="Business2"/>
      <sheetName val="REDS Categories"/>
      <sheetName val="RoadBasic"/>
      <sheetName val="RoadComplex"/>
      <sheetName val="RoadWorking"/>
      <sheetName val="RoadSafety"/>
      <sheetName val="RoadInputs"/>
      <sheetName val="RoadVOC"/>
      <sheetName val="WTP"/>
      <sheetName val="Tourism"/>
      <sheetName val="Water"/>
      <sheetName val="Water WIP"/>
      <sheetName val="IBIS-DD"/>
      <sheetName val="SALM-DD"/>
      <sheetName val="CPI-DD"/>
      <sheetName val="CreditRisk"/>
      <sheetName val="ChangeLog"/>
    </sheetNames>
    <sheetDataSet>
      <sheetData sheetId="0">
        <row r="8">
          <cell r="C8">
            <v>7.0000000000000007E-2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9F25C-C6A5-44CD-823C-6AE7A417B4B7}">
  <sheetPr>
    <pageSetUpPr fitToPage="1"/>
  </sheetPr>
  <dimension ref="A1:L26"/>
  <sheetViews>
    <sheetView showGridLines="0" showRowColHeaders="0" tabSelected="1" zoomScaleNormal="100" workbookViewId="0">
      <selection activeCell="I1" sqref="I1"/>
    </sheetView>
  </sheetViews>
  <sheetFormatPr defaultColWidth="0" defaultRowHeight="15" zeroHeight="1" x14ac:dyDescent="0.25"/>
  <cols>
    <col min="1" max="11" width="9.140625" customWidth="1"/>
    <col min="12" max="12" width="2.85546875" customWidth="1"/>
    <col min="13" max="16384" width="9.140625" hidden="1"/>
  </cols>
  <sheetData>
    <row r="1" spans="1:12" x14ac:dyDescent="0.25">
      <c r="A1" s="10"/>
      <c r="B1" s="10"/>
      <c r="C1" s="10"/>
      <c r="D1" s="10"/>
      <c r="E1" s="10"/>
      <c r="F1" s="10"/>
      <c r="G1" s="10"/>
      <c r="H1" s="10"/>
      <c r="I1" s="10"/>
      <c r="J1" s="10"/>
      <c r="K1" s="10"/>
      <c r="L1" s="10"/>
    </row>
    <row r="2" spans="1:12" x14ac:dyDescent="0.25">
      <c r="A2" s="10"/>
      <c r="B2" s="10"/>
      <c r="C2" s="10"/>
      <c r="D2" s="10"/>
      <c r="E2" s="10"/>
      <c r="F2" s="10"/>
      <c r="G2" s="10"/>
      <c r="H2" s="10"/>
      <c r="I2" s="10"/>
      <c r="J2" s="10"/>
      <c r="K2" s="10"/>
      <c r="L2" s="10"/>
    </row>
    <row r="3" spans="1:12" x14ac:dyDescent="0.25">
      <c r="A3" s="10"/>
      <c r="B3" s="10"/>
      <c r="C3" s="10"/>
      <c r="D3" s="10"/>
      <c r="E3" s="10"/>
      <c r="F3" s="10"/>
      <c r="G3" s="10"/>
      <c r="H3" s="10"/>
      <c r="I3" s="10"/>
      <c r="J3" s="10"/>
      <c r="K3" s="10"/>
      <c r="L3" s="10"/>
    </row>
    <row r="4" spans="1:12" x14ac:dyDescent="0.25">
      <c r="A4" s="10"/>
      <c r="B4" s="10"/>
      <c r="C4" s="10"/>
      <c r="D4" s="10"/>
      <c r="E4" s="10"/>
      <c r="F4" s="10"/>
      <c r="G4" s="10"/>
      <c r="H4" s="10"/>
      <c r="I4" s="10"/>
      <c r="J4" s="10"/>
      <c r="K4" s="10"/>
      <c r="L4" s="10"/>
    </row>
    <row r="5" spans="1:12" x14ac:dyDescent="0.25">
      <c r="A5" s="10"/>
      <c r="B5" s="10"/>
      <c r="C5" s="10"/>
      <c r="D5" s="10"/>
      <c r="E5" s="10"/>
      <c r="F5" s="10"/>
      <c r="G5" s="10"/>
      <c r="H5" s="10"/>
      <c r="I5" s="10"/>
      <c r="J5" s="10"/>
      <c r="K5" s="10"/>
      <c r="L5" s="10"/>
    </row>
    <row r="6" spans="1:12" x14ac:dyDescent="0.25">
      <c r="A6" s="10"/>
      <c r="B6" s="10"/>
      <c r="C6" s="10"/>
      <c r="D6" s="10"/>
      <c r="E6" s="10"/>
      <c r="F6" s="10"/>
      <c r="G6" s="10"/>
      <c r="H6" s="10"/>
      <c r="I6" s="10"/>
      <c r="J6" s="10"/>
      <c r="K6" s="10"/>
      <c r="L6" s="10"/>
    </row>
    <row r="7" spans="1:12" x14ac:dyDescent="0.25">
      <c r="A7" s="10"/>
      <c r="B7" s="10"/>
      <c r="C7" s="10"/>
      <c r="D7" s="10"/>
      <c r="E7" s="10"/>
      <c r="F7" s="10"/>
      <c r="G7" s="10"/>
      <c r="H7" s="10"/>
      <c r="I7" s="10"/>
      <c r="J7" s="10"/>
      <c r="K7" s="10"/>
      <c r="L7" s="10"/>
    </row>
    <row r="8" spans="1:12" x14ac:dyDescent="0.25">
      <c r="A8" s="10"/>
      <c r="B8" s="10"/>
      <c r="C8" s="10"/>
      <c r="D8" s="10"/>
      <c r="E8" s="10"/>
      <c r="F8" s="10"/>
      <c r="G8" s="10"/>
      <c r="H8" s="10"/>
      <c r="I8" s="10"/>
      <c r="J8" s="10"/>
      <c r="K8" s="10"/>
      <c r="L8" s="10"/>
    </row>
    <row r="9" spans="1:12" x14ac:dyDescent="0.25">
      <c r="A9" s="10"/>
      <c r="B9" s="10"/>
      <c r="C9" s="10"/>
      <c r="D9" s="10"/>
      <c r="E9" s="10"/>
      <c r="F9" s="10"/>
      <c r="G9" s="10"/>
      <c r="H9" s="10"/>
      <c r="I9" s="10"/>
      <c r="J9" s="10"/>
      <c r="K9" s="10"/>
      <c r="L9" s="10"/>
    </row>
    <row r="10" spans="1:12" x14ac:dyDescent="0.25">
      <c r="A10" s="10"/>
      <c r="B10" s="10"/>
      <c r="C10" s="10"/>
      <c r="D10" s="10"/>
      <c r="E10" s="10"/>
      <c r="F10" s="10"/>
      <c r="G10" s="10"/>
      <c r="H10" s="10"/>
      <c r="I10" s="10"/>
      <c r="J10" s="10"/>
      <c r="K10" s="10"/>
      <c r="L10" s="10"/>
    </row>
    <row r="11" spans="1:12" x14ac:dyDescent="0.25">
      <c r="A11" s="10"/>
      <c r="B11" s="10"/>
      <c r="C11" s="10"/>
      <c r="D11" s="10"/>
      <c r="E11" s="10"/>
      <c r="F11" s="10"/>
      <c r="G11" s="10"/>
      <c r="H11" s="10"/>
      <c r="I11" s="10"/>
      <c r="J11" s="10"/>
      <c r="K11" s="10"/>
      <c r="L11" s="10"/>
    </row>
    <row r="12" spans="1:12" x14ac:dyDescent="0.25">
      <c r="A12" s="10"/>
      <c r="B12" s="10"/>
      <c r="C12" s="10"/>
      <c r="D12" s="10"/>
      <c r="E12" s="10"/>
      <c r="F12" s="10"/>
      <c r="G12" s="10"/>
      <c r="H12" s="10"/>
      <c r="I12" s="10"/>
      <c r="J12" s="10"/>
      <c r="K12" s="10"/>
      <c r="L12" s="10"/>
    </row>
    <row r="13" spans="1:12" x14ac:dyDescent="0.25">
      <c r="A13" s="10"/>
      <c r="B13" s="10"/>
      <c r="C13" s="10"/>
      <c r="D13" s="10"/>
      <c r="E13" s="10"/>
      <c r="F13" s="10"/>
      <c r="G13" s="10"/>
      <c r="H13" s="10"/>
      <c r="I13" s="10"/>
      <c r="J13" s="10"/>
      <c r="K13" s="10"/>
      <c r="L13" s="10"/>
    </row>
    <row r="14" spans="1:12" x14ac:dyDescent="0.25">
      <c r="A14" s="10"/>
      <c r="B14" s="10"/>
      <c r="C14" s="10"/>
      <c r="D14" s="10"/>
      <c r="E14" s="10"/>
      <c r="F14" s="10"/>
      <c r="G14" s="10"/>
      <c r="H14" s="10"/>
      <c r="I14" s="10"/>
      <c r="J14" s="10"/>
      <c r="K14" s="10"/>
      <c r="L14" s="10"/>
    </row>
    <row r="15" spans="1:12" x14ac:dyDescent="0.25">
      <c r="A15" s="10"/>
      <c r="B15" s="10"/>
      <c r="C15" s="10"/>
      <c r="D15" s="10"/>
      <c r="E15" s="10"/>
      <c r="F15" s="10"/>
      <c r="G15" s="10"/>
      <c r="H15" s="10"/>
      <c r="I15" s="10"/>
      <c r="J15" s="10"/>
      <c r="K15" s="10"/>
      <c r="L15" s="10"/>
    </row>
    <row r="16" spans="1:12" x14ac:dyDescent="0.25">
      <c r="A16" s="10"/>
      <c r="B16" s="10"/>
      <c r="C16" s="10"/>
      <c r="D16" s="10"/>
      <c r="E16" s="10"/>
      <c r="F16" s="10"/>
      <c r="G16" s="10"/>
      <c r="H16" s="10"/>
      <c r="I16" s="10"/>
      <c r="J16" s="10"/>
      <c r="K16" s="10"/>
      <c r="L16" s="10"/>
    </row>
    <row r="17" spans="1:12" x14ac:dyDescent="0.25">
      <c r="A17" s="10"/>
      <c r="B17" s="10"/>
      <c r="C17" s="10"/>
      <c r="D17" s="10"/>
      <c r="E17" s="10"/>
      <c r="F17" s="10"/>
      <c r="G17" s="10"/>
      <c r="H17" s="10"/>
      <c r="I17" s="10"/>
      <c r="J17" s="10"/>
      <c r="K17" s="10"/>
      <c r="L17" s="10"/>
    </row>
    <row r="18" spans="1:12" x14ac:dyDescent="0.25">
      <c r="A18" s="10"/>
      <c r="B18" s="10"/>
      <c r="C18" s="10"/>
      <c r="D18" s="10"/>
      <c r="E18" s="10"/>
      <c r="F18" s="10"/>
      <c r="G18" s="10"/>
      <c r="H18" s="10"/>
      <c r="I18" s="10"/>
      <c r="J18" s="10"/>
      <c r="K18" s="10"/>
      <c r="L18" s="10"/>
    </row>
    <row r="19" spans="1:12" x14ac:dyDescent="0.25">
      <c r="A19" s="10"/>
      <c r="B19" s="10"/>
      <c r="C19" s="10"/>
      <c r="D19" s="10"/>
      <c r="E19" s="10"/>
      <c r="F19" s="10"/>
      <c r="G19" s="10"/>
      <c r="H19" s="10"/>
      <c r="I19" s="10"/>
      <c r="J19" s="10"/>
      <c r="K19" s="10"/>
      <c r="L19" s="10"/>
    </row>
    <row r="20" spans="1:12" x14ac:dyDescent="0.25">
      <c r="A20" s="10"/>
      <c r="B20" s="10"/>
      <c r="C20" s="10"/>
      <c r="D20" s="10"/>
      <c r="E20" s="10"/>
      <c r="F20" s="10"/>
      <c r="G20" s="10"/>
      <c r="H20" s="10"/>
      <c r="I20" s="10"/>
      <c r="J20" s="10"/>
      <c r="K20" s="10"/>
      <c r="L20" s="10"/>
    </row>
    <row r="21" spans="1:12" x14ac:dyDescent="0.25">
      <c r="A21" s="10"/>
      <c r="B21" s="10"/>
      <c r="C21" s="10"/>
      <c r="D21" s="10"/>
      <c r="E21" s="10"/>
      <c r="F21" s="10"/>
      <c r="G21" s="10"/>
      <c r="H21" s="10"/>
      <c r="I21" s="10"/>
      <c r="J21" s="10"/>
      <c r="K21" s="10"/>
      <c r="L21" s="10"/>
    </row>
    <row r="22" spans="1:12" x14ac:dyDescent="0.25">
      <c r="A22" s="10"/>
      <c r="B22" s="10"/>
      <c r="C22" s="10"/>
      <c r="D22" s="10"/>
      <c r="E22" s="10"/>
      <c r="F22" s="10"/>
      <c r="G22" s="10"/>
      <c r="H22" s="10"/>
      <c r="I22" s="10"/>
      <c r="J22" s="10"/>
      <c r="K22" s="10"/>
      <c r="L22" s="10"/>
    </row>
    <row r="23" spans="1:12" x14ac:dyDescent="0.25">
      <c r="A23" s="10"/>
      <c r="B23" s="10"/>
      <c r="C23" s="10"/>
      <c r="D23" s="10"/>
      <c r="E23" s="10"/>
      <c r="F23" s="10"/>
      <c r="G23" s="10"/>
      <c r="H23" s="10"/>
      <c r="I23" s="10"/>
      <c r="J23" s="10"/>
      <c r="K23" s="10"/>
      <c r="L23" s="10"/>
    </row>
    <row r="24" spans="1:12" x14ac:dyDescent="0.25">
      <c r="A24" s="10"/>
      <c r="B24" s="10"/>
      <c r="C24" s="10"/>
      <c r="D24" s="10"/>
      <c r="E24" s="10"/>
      <c r="F24" s="10"/>
      <c r="G24" s="10"/>
      <c r="H24" s="10"/>
      <c r="I24" s="10"/>
      <c r="J24" s="10"/>
      <c r="K24" s="10"/>
      <c r="L24" s="10"/>
    </row>
    <row r="25" spans="1:12" x14ac:dyDescent="0.25">
      <c r="A25" s="10"/>
      <c r="B25" s="10"/>
      <c r="C25" s="10"/>
      <c r="D25" s="10"/>
      <c r="E25" s="10"/>
      <c r="F25" s="10"/>
      <c r="G25" s="10"/>
      <c r="H25" s="10"/>
      <c r="I25" s="10"/>
      <c r="J25" s="10"/>
      <c r="K25" s="10"/>
      <c r="L25" s="10"/>
    </row>
    <row r="26" spans="1:12" x14ac:dyDescent="0.25">
      <c r="A26" s="10"/>
      <c r="B26" s="10"/>
      <c r="C26" s="10"/>
      <c r="D26" s="10"/>
      <c r="E26" s="10"/>
      <c r="F26" s="10"/>
      <c r="G26" s="10"/>
      <c r="H26" s="10"/>
      <c r="I26" s="10"/>
      <c r="J26" s="10"/>
      <c r="K26" s="10"/>
      <c r="L26" s="10"/>
    </row>
  </sheetData>
  <sheetProtection sheet="1" objects="1" scenarios="1" selectLockedCells="1"/>
  <pageMargins left="0.7" right="0.7" top="0.75" bottom="0.75" header="0.3" footer="0.3"/>
  <pageSetup paperSize="9" scale="83"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9B0C-445F-427D-B19C-133A1AB1DBB8}">
  <sheetPr>
    <pageSetUpPr fitToPage="1"/>
  </sheetPr>
  <dimension ref="A1:I66"/>
  <sheetViews>
    <sheetView zoomScaleNormal="100" workbookViewId="0"/>
  </sheetViews>
  <sheetFormatPr defaultRowHeight="15" x14ac:dyDescent="0.25"/>
  <cols>
    <col min="1" max="1" width="31.85546875" customWidth="1"/>
    <col min="2" max="2" width="19.7109375" customWidth="1"/>
    <col min="3" max="7" width="14.140625" customWidth="1"/>
  </cols>
  <sheetData>
    <row r="1" spans="1:9" ht="15.75" x14ac:dyDescent="0.25">
      <c r="A1" s="18" t="s">
        <v>100</v>
      </c>
    </row>
    <row r="2" spans="1:9" x14ac:dyDescent="0.25">
      <c r="A2" s="1"/>
    </row>
    <row r="3" spans="1:9" x14ac:dyDescent="0.25">
      <c r="A3" s="1"/>
    </row>
    <row r="4" spans="1:9" x14ac:dyDescent="0.25">
      <c r="A4" s="17" t="s">
        <v>2</v>
      </c>
      <c r="B4" s="17"/>
      <c r="C4" s="17"/>
      <c r="D4" s="17"/>
      <c r="E4" s="17"/>
      <c r="F4" s="17"/>
      <c r="G4" s="17"/>
      <c r="H4" s="17"/>
      <c r="I4" s="17"/>
    </row>
    <row r="5" spans="1:9" ht="15.75" x14ac:dyDescent="0.25">
      <c r="A5" s="18" t="s">
        <v>101</v>
      </c>
    </row>
    <row r="6" spans="1:9" x14ac:dyDescent="0.25">
      <c r="A6" s="1" t="s">
        <v>102</v>
      </c>
      <c r="B6" s="1" t="s">
        <v>103</v>
      </c>
    </row>
    <row r="7" spans="1:9" x14ac:dyDescent="0.25">
      <c r="A7" s="46">
        <v>10</v>
      </c>
      <c r="B7" t="s">
        <v>1</v>
      </c>
    </row>
    <row r="8" spans="1:9" x14ac:dyDescent="0.25">
      <c r="A8" s="46">
        <v>7.5</v>
      </c>
      <c r="B8" t="s">
        <v>104</v>
      </c>
    </row>
    <row r="9" spans="1:9" x14ac:dyDescent="0.25">
      <c r="A9" s="46">
        <v>12</v>
      </c>
      <c r="B9" t="s">
        <v>105</v>
      </c>
    </row>
    <row r="10" spans="1:9" x14ac:dyDescent="0.25">
      <c r="A10" s="1" t="s">
        <v>106</v>
      </c>
    </row>
    <row r="11" spans="1:9" x14ac:dyDescent="0.25">
      <c r="A11" s="48">
        <v>2604320</v>
      </c>
      <c r="B11" t="s">
        <v>107</v>
      </c>
    </row>
    <row r="13" spans="1:9" ht="15.75" x14ac:dyDescent="0.25">
      <c r="A13" s="18" t="s">
        <v>108</v>
      </c>
    </row>
    <row r="14" spans="1:9" x14ac:dyDescent="0.25">
      <c r="A14" s="1" t="s">
        <v>93</v>
      </c>
      <c r="B14" s="1" t="s">
        <v>109</v>
      </c>
      <c r="C14" s="1" t="s">
        <v>103</v>
      </c>
    </row>
    <row r="15" spans="1:9" x14ac:dyDescent="0.25">
      <c r="A15" s="49">
        <v>10</v>
      </c>
      <c r="B15" s="45">
        <f>A15*$A$11</f>
        <v>26043200</v>
      </c>
      <c r="C15" t="s">
        <v>1</v>
      </c>
    </row>
    <row r="16" spans="1:9" x14ac:dyDescent="0.25">
      <c r="A16" s="49">
        <v>7.5</v>
      </c>
      <c r="B16" s="45">
        <f t="shared" ref="B16:B17" si="0">A16*$A$11</f>
        <v>19532400</v>
      </c>
      <c r="C16" t="s">
        <v>136</v>
      </c>
    </row>
    <row r="17" spans="1:9" x14ac:dyDescent="0.25">
      <c r="A17" s="49">
        <v>12</v>
      </c>
      <c r="B17" s="45">
        <f t="shared" si="0"/>
        <v>31251840</v>
      </c>
      <c r="C17" t="s">
        <v>137</v>
      </c>
    </row>
    <row r="19" spans="1:9" x14ac:dyDescent="0.25">
      <c r="A19" s="17" t="s">
        <v>5</v>
      </c>
      <c r="B19" s="17"/>
      <c r="C19" s="17"/>
      <c r="D19" s="17"/>
      <c r="E19" s="17"/>
      <c r="F19" s="17"/>
      <c r="G19" s="17"/>
      <c r="H19" s="17"/>
      <c r="I19" s="17"/>
    </row>
    <row r="20" spans="1:9" ht="15.75" x14ac:dyDescent="0.25">
      <c r="A20" s="18" t="s">
        <v>101</v>
      </c>
    </row>
    <row r="21" spans="1:9" x14ac:dyDescent="0.25">
      <c r="A21" s="1" t="s">
        <v>5</v>
      </c>
      <c r="B21" s="1" t="s">
        <v>103</v>
      </c>
    </row>
    <row r="22" spans="1:9" ht="15.75" thickBot="1" x14ac:dyDescent="0.3">
      <c r="A22" t="s">
        <v>111</v>
      </c>
      <c r="B22" t="s">
        <v>110</v>
      </c>
    </row>
    <row r="23" spans="1:9" ht="15.75" thickBot="1" x14ac:dyDescent="0.3">
      <c r="A23" s="5" t="s">
        <v>16</v>
      </c>
      <c r="B23" s="50" t="s">
        <v>17</v>
      </c>
      <c r="C23" s="50" t="s">
        <v>18</v>
      </c>
      <c r="D23" s="50" t="s">
        <v>19</v>
      </c>
      <c r="E23" s="50" t="s">
        <v>20</v>
      </c>
      <c r="F23" s="50" t="s">
        <v>21</v>
      </c>
      <c r="G23" s="51" t="s">
        <v>22</v>
      </c>
    </row>
    <row r="24" spans="1:9" ht="15.75" thickBot="1" x14ac:dyDescent="0.3">
      <c r="A24" s="11" t="s">
        <v>6</v>
      </c>
      <c r="B24" s="52">
        <v>2</v>
      </c>
      <c r="C24" s="53">
        <v>100</v>
      </c>
      <c r="D24" s="53">
        <v>200</v>
      </c>
      <c r="E24" s="53">
        <v>250</v>
      </c>
      <c r="F24" s="53">
        <v>280</v>
      </c>
      <c r="G24" s="54">
        <v>300</v>
      </c>
    </row>
    <row r="25" spans="1:9" ht="15.75" thickBot="1" x14ac:dyDescent="0.3">
      <c r="A25" s="12" t="s">
        <v>7</v>
      </c>
      <c r="B25" s="52">
        <v>2</v>
      </c>
      <c r="C25" s="55">
        <v>50</v>
      </c>
      <c r="D25" s="55">
        <v>100</v>
      </c>
      <c r="E25" s="55">
        <v>125</v>
      </c>
      <c r="F25" s="55">
        <v>140</v>
      </c>
      <c r="G25" s="56">
        <v>150</v>
      </c>
    </row>
    <row r="26" spans="1:9" x14ac:dyDescent="0.25">
      <c r="A26" s="1" t="s">
        <v>112</v>
      </c>
    </row>
    <row r="27" spans="1:9" x14ac:dyDescent="0.25">
      <c r="A27" s="57">
        <v>200</v>
      </c>
      <c r="B27" t="s">
        <v>113</v>
      </c>
    </row>
    <row r="28" spans="1:9" x14ac:dyDescent="0.25">
      <c r="A28" s="57">
        <v>100</v>
      </c>
      <c r="B28" t="s">
        <v>114</v>
      </c>
    </row>
    <row r="29" spans="1:9" x14ac:dyDescent="0.25">
      <c r="A29" s="57">
        <v>300</v>
      </c>
      <c r="B29" t="s">
        <v>117</v>
      </c>
    </row>
    <row r="30" spans="1:9" x14ac:dyDescent="0.25">
      <c r="A30" s="1" t="s">
        <v>90</v>
      </c>
    </row>
    <row r="31" spans="1:9" x14ac:dyDescent="0.25">
      <c r="A31" s="58">
        <v>0.09</v>
      </c>
      <c r="B31" t="s">
        <v>115</v>
      </c>
    </row>
    <row r="32" spans="1:9" x14ac:dyDescent="0.25">
      <c r="A32" s="58">
        <v>0.11</v>
      </c>
      <c r="B32" t="s">
        <v>116</v>
      </c>
    </row>
    <row r="34" spans="1:9" ht="16.5" thickBot="1" x14ac:dyDescent="0.3">
      <c r="A34" s="18" t="s">
        <v>108</v>
      </c>
    </row>
    <row r="35" spans="1:9" ht="15.75" thickBot="1" x14ac:dyDescent="0.3">
      <c r="A35" s="5" t="s">
        <v>118</v>
      </c>
      <c r="B35" s="50" t="s">
        <v>18</v>
      </c>
      <c r="C35" s="50" t="s">
        <v>19</v>
      </c>
      <c r="D35" s="50" t="s">
        <v>20</v>
      </c>
      <c r="E35" s="50" t="s">
        <v>21</v>
      </c>
      <c r="F35" s="51" t="s">
        <v>22</v>
      </c>
    </row>
    <row r="36" spans="1:9" ht="15.75" thickBot="1" x14ac:dyDescent="0.3">
      <c r="A36" s="11" t="s">
        <v>6</v>
      </c>
      <c r="B36" s="53">
        <f>$A$27*$B$24*C24</f>
        <v>40000</v>
      </c>
      <c r="C36" s="53">
        <f t="shared" ref="C36:F36" si="1">$A$27*$B$24*D24</f>
        <v>80000</v>
      </c>
      <c r="D36" s="53">
        <f t="shared" si="1"/>
        <v>100000</v>
      </c>
      <c r="E36" s="53">
        <f t="shared" si="1"/>
        <v>112000</v>
      </c>
      <c r="F36" s="53">
        <f t="shared" si="1"/>
        <v>120000</v>
      </c>
    </row>
    <row r="37" spans="1:9" ht="15.75" thickBot="1" x14ac:dyDescent="0.3">
      <c r="A37" s="12" t="s">
        <v>7</v>
      </c>
      <c r="B37" s="53">
        <f>$A$28*$B$25*C25</f>
        <v>10000</v>
      </c>
      <c r="C37" s="53">
        <f>$A$28*$B$25*D25</f>
        <v>20000</v>
      </c>
      <c r="D37" s="53">
        <f>$A$28*$B$25*E25</f>
        <v>25000</v>
      </c>
      <c r="E37" s="53">
        <f>$A$28*$B$25*F25</f>
        <v>28000</v>
      </c>
      <c r="F37" s="53">
        <f>$A$28*$B$25*G25</f>
        <v>30000</v>
      </c>
    </row>
    <row r="38" spans="1:9" ht="15.75" thickBot="1" x14ac:dyDescent="0.3"/>
    <row r="39" spans="1:9" ht="15.75" thickBot="1" x14ac:dyDescent="0.3">
      <c r="A39" s="5" t="s">
        <v>90</v>
      </c>
      <c r="B39" s="50" t="s">
        <v>18</v>
      </c>
      <c r="C39" s="50" t="s">
        <v>19</v>
      </c>
      <c r="D39" s="50" t="s">
        <v>20</v>
      </c>
      <c r="E39" s="50" t="s">
        <v>21</v>
      </c>
      <c r="F39" s="51" t="s">
        <v>22</v>
      </c>
    </row>
    <row r="40" spans="1:9" ht="15.75" thickBot="1" x14ac:dyDescent="0.3">
      <c r="A40" s="12" t="s">
        <v>91</v>
      </c>
      <c r="B40" s="53">
        <f>SUM(B36:B37)*$A$31</f>
        <v>4500</v>
      </c>
      <c r="C40" s="53">
        <f>SUM(C36:C37)*$A$31</f>
        <v>9000</v>
      </c>
      <c r="D40" s="53">
        <f>SUM(D36:D37)*$A$31</f>
        <v>11250</v>
      </c>
      <c r="E40" s="53">
        <f>SUM(E36:E37)*$A$31</f>
        <v>12600</v>
      </c>
      <c r="F40" s="53">
        <f>SUM(F36:F37)*$A$31</f>
        <v>13500</v>
      </c>
    </row>
    <row r="41" spans="1:9" ht="15.75" thickBot="1" x14ac:dyDescent="0.3">
      <c r="A41" s="11" t="s">
        <v>92</v>
      </c>
      <c r="B41" s="53">
        <f>SUM(B36:B37)*$A$32</f>
        <v>5500</v>
      </c>
      <c r="C41" s="53">
        <f>SUM(C36:C37)*$A$32</f>
        <v>11000</v>
      </c>
      <c r="D41" s="53">
        <f>SUM(D36:D37)*$A$32</f>
        <v>13750</v>
      </c>
      <c r="E41" s="53">
        <f>SUM(E36:E37)*$A$32</f>
        <v>15400</v>
      </c>
      <c r="F41" s="53">
        <f>SUM(F36:F37)*$A$32</f>
        <v>16500</v>
      </c>
    </row>
    <row r="43" spans="1:9" x14ac:dyDescent="0.25">
      <c r="A43" s="17" t="s">
        <v>9</v>
      </c>
      <c r="B43" s="17"/>
      <c r="C43" s="17"/>
      <c r="D43" s="17"/>
      <c r="E43" s="17"/>
      <c r="F43" s="17"/>
      <c r="G43" s="17"/>
      <c r="H43" s="17"/>
      <c r="I43" s="17"/>
    </row>
    <row r="44" spans="1:9" ht="15.75" x14ac:dyDescent="0.25">
      <c r="A44" s="18" t="s">
        <v>101</v>
      </c>
    </row>
    <row r="45" spans="1:9" x14ac:dyDescent="0.25">
      <c r="A45" s="85" t="s">
        <v>119</v>
      </c>
      <c r="B45" s="85" t="s">
        <v>103</v>
      </c>
      <c r="C45" s="86"/>
      <c r="D45" s="86"/>
      <c r="E45" s="86"/>
      <c r="F45" s="86"/>
      <c r="G45" s="86"/>
      <c r="H45" s="86"/>
      <c r="I45" s="86"/>
    </row>
    <row r="46" spans="1:9" x14ac:dyDescent="0.25">
      <c r="A46" s="57">
        <v>20000000</v>
      </c>
      <c r="B46" t="s">
        <v>121</v>
      </c>
    </row>
    <row r="47" spans="1:9" x14ac:dyDescent="0.25">
      <c r="A47" s="57">
        <v>15000000</v>
      </c>
      <c r="B47" t="s">
        <v>120</v>
      </c>
    </row>
    <row r="49" spans="1:9" x14ac:dyDescent="0.25">
      <c r="A49" s="17" t="s">
        <v>23</v>
      </c>
      <c r="B49" s="17"/>
      <c r="C49" s="17"/>
      <c r="D49" s="17"/>
      <c r="E49" s="17"/>
      <c r="F49" s="17"/>
      <c r="G49" s="17"/>
      <c r="H49" s="17"/>
      <c r="I49" s="17"/>
    </row>
    <row r="50" spans="1:9" ht="15.75" x14ac:dyDescent="0.25">
      <c r="A50" s="18" t="s">
        <v>101</v>
      </c>
    </row>
    <row r="51" spans="1:9" x14ac:dyDescent="0.25">
      <c r="A51" s="85" t="s">
        <v>24</v>
      </c>
      <c r="B51" s="85" t="s">
        <v>103</v>
      </c>
    </row>
    <row r="52" spans="1:9" x14ac:dyDescent="0.25">
      <c r="A52" s="48">
        <v>5</v>
      </c>
      <c r="B52" t="s">
        <v>1</v>
      </c>
    </row>
    <row r="53" spans="1:9" x14ac:dyDescent="0.25">
      <c r="A53" s="48">
        <v>10</v>
      </c>
      <c r="B53" t="s">
        <v>122</v>
      </c>
    </row>
    <row r="55" spans="1:9" ht="15.75" x14ac:dyDescent="0.25">
      <c r="A55" s="18" t="s">
        <v>108</v>
      </c>
    </row>
    <row r="56" spans="1:9" x14ac:dyDescent="0.25">
      <c r="A56" s="85" t="s">
        <v>24</v>
      </c>
      <c r="B56" s="85" t="s">
        <v>23</v>
      </c>
    </row>
    <row r="57" spans="1:9" x14ac:dyDescent="0.25">
      <c r="A57" s="48">
        <v>5</v>
      </c>
      <c r="B57" s="57">
        <f>'CapEx and Funding'!F14*0</f>
        <v>0</v>
      </c>
    </row>
    <row r="58" spans="1:9" x14ac:dyDescent="0.25">
      <c r="A58" s="48">
        <v>10</v>
      </c>
      <c r="B58" s="57">
        <f>'CapEx and Funding'!F14*5/A58*1000000</f>
        <v>80420000</v>
      </c>
    </row>
    <row r="60" spans="1:9" x14ac:dyDescent="0.25">
      <c r="A60" s="17" t="s">
        <v>128</v>
      </c>
      <c r="B60" s="17" t="s">
        <v>3</v>
      </c>
      <c r="C60" s="17"/>
      <c r="D60" s="17" t="s">
        <v>4</v>
      </c>
      <c r="E60" s="17" t="s">
        <v>8</v>
      </c>
      <c r="F60" s="17"/>
      <c r="G60" s="17"/>
      <c r="H60" s="17"/>
      <c r="I60" s="17"/>
    </row>
    <row r="61" spans="1:9" ht="15.75" x14ac:dyDescent="0.25">
      <c r="A61" s="18" t="s">
        <v>101</v>
      </c>
    </row>
    <row r="62" spans="1:9" x14ac:dyDescent="0.25">
      <c r="A62" s="1" t="s">
        <v>123</v>
      </c>
      <c r="B62" s="1" t="s">
        <v>103</v>
      </c>
    </row>
    <row r="63" spans="1:9" x14ac:dyDescent="0.25">
      <c r="A63" s="59">
        <f>'CapEx and Funding'!F14</f>
        <v>160.84</v>
      </c>
      <c r="B63" t="s">
        <v>124</v>
      </c>
    </row>
    <row r="64" spans="1:9" x14ac:dyDescent="0.25">
      <c r="A64" s="59">
        <f>'CapEx and Funding'!N3</f>
        <v>100.84</v>
      </c>
      <c r="B64" t="s">
        <v>125</v>
      </c>
    </row>
    <row r="65" spans="1:2" x14ac:dyDescent="0.25">
      <c r="A65" s="59">
        <f>'CapEx and Funding'!N4</f>
        <v>60</v>
      </c>
      <c r="B65" t="s">
        <v>126</v>
      </c>
    </row>
    <row r="66" spans="1:2" x14ac:dyDescent="0.25">
      <c r="A66" s="1" t="s">
        <v>25</v>
      </c>
      <c r="B66" t="s">
        <v>127</v>
      </c>
    </row>
  </sheetData>
  <pageMargins left="0.7" right="0.7" top="0.75" bottom="0.75" header="0.3" footer="0.3"/>
  <pageSetup paperSize="9" scale="53" fitToHeight="0" orientation="portrait" horizontalDpi="300" verticalDpi="300" r:id="rId1"/>
  <rowBreaks count="1" manualBreakCount="1">
    <brk id="67"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67304-32D2-4BA2-A4BB-EDBF8B61CAEA}">
  <sheetPr>
    <pageSetUpPr fitToPage="1"/>
  </sheetPr>
  <dimension ref="A1:O17"/>
  <sheetViews>
    <sheetView zoomScale="106" zoomScaleNormal="106" workbookViewId="0"/>
  </sheetViews>
  <sheetFormatPr defaultRowHeight="15" x14ac:dyDescent="0.25"/>
  <cols>
    <col min="1" max="1" width="43.28515625" customWidth="1"/>
    <col min="2" max="6" width="9.5703125" customWidth="1"/>
    <col min="7" max="7" width="11.42578125" bestFit="1" customWidth="1"/>
    <col min="9" max="9" width="24.85546875" customWidth="1"/>
    <col min="10" max="15" width="9.7109375" customWidth="1"/>
  </cols>
  <sheetData>
    <row r="1" spans="1:15" ht="15.75" thickBot="1" x14ac:dyDescent="0.3">
      <c r="A1" s="1" t="s">
        <v>52</v>
      </c>
      <c r="B1" s="42" t="s">
        <v>45</v>
      </c>
      <c r="C1" s="42" t="s">
        <v>45</v>
      </c>
      <c r="D1" s="42" t="s">
        <v>45</v>
      </c>
      <c r="E1" s="42" t="s">
        <v>45</v>
      </c>
      <c r="F1" s="42" t="s">
        <v>45</v>
      </c>
      <c r="H1" s="8"/>
      <c r="I1" s="1" t="s">
        <v>53</v>
      </c>
      <c r="J1" s="42" t="s">
        <v>45</v>
      </c>
      <c r="K1" s="42" t="s">
        <v>45</v>
      </c>
      <c r="L1" s="42" t="s">
        <v>45</v>
      </c>
      <c r="M1" s="42" t="s">
        <v>45</v>
      </c>
      <c r="N1" s="42" t="s">
        <v>45</v>
      </c>
    </row>
    <row r="2" spans="1:15" ht="15.75" thickBot="1" x14ac:dyDescent="0.3">
      <c r="A2" s="5" t="s">
        <v>47</v>
      </c>
      <c r="B2" s="6" t="s">
        <v>51</v>
      </c>
      <c r="C2" s="6" t="s">
        <v>48</v>
      </c>
      <c r="D2" s="6" t="s">
        <v>49</v>
      </c>
      <c r="E2" s="6" t="s">
        <v>50</v>
      </c>
      <c r="F2" s="7" t="s">
        <v>27</v>
      </c>
      <c r="G2" t="s">
        <v>46</v>
      </c>
      <c r="H2" s="8"/>
      <c r="I2" s="5" t="s">
        <v>47</v>
      </c>
      <c r="J2" s="6" t="s">
        <v>51</v>
      </c>
      <c r="K2" s="6" t="s">
        <v>48</v>
      </c>
      <c r="L2" s="6" t="s">
        <v>49</v>
      </c>
      <c r="M2" s="6" t="s">
        <v>50</v>
      </c>
      <c r="N2" s="7" t="s">
        <v>27</v>
      </c>
      <c r="O2" s="7"/>
    </row>
    <row r="3" spans="1:15" ht="15.75" thickBot="1" x14ac:dyDescent="0.3">
      <c r="A3" s="3" t="s">
        <v>129</v>
      </c>
      <c r="B3" s="60">
        <v>38</v>
      </c>
      <c r="C3" s="60">
        <v>2</v>
      </c>
      <c r="D3" s="60">
        <v>0</v>
      </c>
      <c r="E3" s="60">
        <v>0</v>
      </c>
      <c r="F3" s="61">
        <v>40</v>
      </c>
      <c r="G3" s="46">
        <f>F3-C3-B3</f>
        <v>0</v>
      </c>
      <c r="H3" s="9"/>
      <c r="I3" t="s">
        <v>131</v>
      </c>
      <c r="J3" s="66">
        <f>B$14*$O$3</f>
        <v>76.927804028848541</v>
      </c>
      <c r="K3" s="66">
        <f>C$14*$O$3</f>
        <v>23.912195971151455</v>
      </c>
      <c r="L3" s="66">
        <f>D$14*$O$3</f>
        <v>0</v>
      </c>
      <c r="M3" s="66">
        <f>E$14*$O$3</f>
        <v>0</v>
      </c>
      <c r="N3" s="66">
        <v>100.84</v>
      </c>
      <c r="O3" s="67">
        <f>N3/(N3+N4)</f>
        <v>0.62695846804277544</v>
      </c>
    </row>
    <row r="4" spans="1:15" ht="15.75" thickBot="1" x14ac:dyDescent="0.3">
      <c r="A4" s="2" t="s">
        <v>36</v>
      </c>
      <c r="B4" s="62">
        <v>10</v>
      </c>
      <c r="C4" s="62">
        <v>0</v>
      </c>
      <c r="D4" s="62">
        <v>0</v>
      </c>
      <c r="E4" s="62">
        <v>0</v>
      </c>
      <c r="F4" s="63">
        <v>10</v>
      </c>
      <c r="G4" s="46">
        <f t="shared" ref="G4:G14" si="0">F4-C4-B4</f>
        <v>0</v>
      </c>
      <c r="H4" s="9"/>
      <c r="I4" s="10" t="s">
        <v>132</v>
      </c>
      <c r="J4" s="68">
        <f>B$14*$O$4</f>
        <v>45.772195971151454</v>
      </c>
      <c r="K4" s="68">
        <f>C$14*$O$4</f>
        <v>14.227804028848546</v>
      </c>
      <c r="L4" s="68">
        <f>D$14*$O$4</f>
        <v>0</v>
      </c>
      <c r="M4" s="68">
        <f>E$14*$O$4</f>
        <v>0</v>
      </c>
      <c r="N4" s="68">
        <v>60</v>
      </c>
      <c r="O4" s="67">
        <f>N4/(N3+N4)</f>
        <v>0.37304153195722456</v>
      </c>
    </row>
    <row r="5" spans="1:15" ht="24.75" thickBot="1" x14ac:dyDescent="0.3">
      <c r="A5" s="3" t="s">
        <v>37</v>
      </c>
      <c r="B5" s="60">
        <v>25</v>
      </c>
      <c r="C5" s="60">
        <v>15</v>
      </c>
      <c r="D5" s="60">
        <v>0</v>
      </c>
      <c r="E5" s="60">
        <v>0</v>
      </c>
      <c r="F5" s="61">
        <v>40</v>
      </c>
      <c r="G5" s="46">
        <f t="shared" si="0"/>
        <v>0</v>
      </c>
      <c r="H5" s="9"/>
      <c r="I5" s="87" t="s">
        <v>46</v>
      </c>
      <c r="J5" s="66">
        <f>J3+J4-B14</f>
        <v>0</v>
      </c>
      <c r="K5" s="66">
        <f t="shared" ref="K5:N5" si="1">K3+K4-C14</f>
        <v>0</v>
      </c>
      <c r="L5" s="66">
        <f t="shared" si="1"/>
        <v>0</v>
      </c>
      <c r="M5" s="66">
        <f t="shared" si="1"/>
        <v>0</v>
      </c>
      <c r="N5" s="66">
        <f t="shared" si="1"/>
        <v>0</v>
      </c>
      <c r="O5" s="69"/>
    </row>
    <row r="6" spans="1:15" ht="24.75" thickBot="1" x14ac:dyDescent="0.3">
      <c r="A6" s="2" t="s">
        <v>130</v>
      </c>
      <c r="B6" s="62">
        <v>10</v>
      </c>
      <c r="C6" s="62">
        <v>10</v>
      </c>
      <c r="D6" s="62">
        <v>0</v>
      </c>
      <c r="E6" s="62">
        <v>0</v>
      </c>
      <c r="F6" s="63">
        <v>20</v>
      </c>
      <c r="G6" s="46">
        <f t="shared" si="0"/>
        <v>0</v>
      </c>
      <c r="H6" s="9"/>
    </row>
    <row r="7" spans="1:15" ht="15.75" thickBot="1" x14ac:dyDescent="0.3">
      <c r="A7" s="3" t="s">
        <v>38</v>
      </c>
      <c r="B7" s="60">
        <v>12</v>
      </c>
      <c r="C7" s="60">
        <v>3</v>
      </c>
      <c r="D7" s="60">
        <v>0</v>
      </c>
      <c r="E7" s="60">
        <v>0</v>
      </c>
      <c r="F7" s="61">
        <v>15</v>
      </c>
      <c r="G7" s="46">
        <f t="shared" si="0"/>
        <v>0</v>
      </c>
      <c r="H7" s="9"/>
    </row>
    <row r="8" spans="1:15" ht="15.75" thickBot="1" x14ac:dyDescent="0.3">
      <c r="A8" s="2" t="s">
        <v>39</v>
      </c>
      <c r="B8" s="62">
        <v>10</v>
      </c>
      <c r="C8" s="62">
        <v>2</v>
      </c>
      <c r="D8" s="62">
        <v>0</v>
      </c>
      <c r="E8" s="62">
        <v>0</v>
      </c>
      <c r="F8" s="63">
        <v>12</v>
      </c>
      <c r="G8" s="46">
        <f t="shared" si="0"/>
        <v>0</v>
      </c>
      <c r="H8" s="9"/>
    </row>
    <row r="9" spans="1:15" ht="15.75" thickBot="1" x14ac:dyDescent="0.3">
      <c r="A9" s="3" t="s">
        <v>40</v>
      </c>
      <c r="B9" s="60">
        <v>3</v>
      </c>
      <c r="C9" s="60">
        <v>3</v>
      </c>
      <c r="D9" s="60">
        <v>0</v>
      </c>
      <c r="E9" s="60">
        <v>0</v>
      </c>
      <c r="F9" s="61">
        <v>6</v>
      </c>
      <c r="G9" s="46">
        <f t="shared" si="0"/>
        <v>0</v>
      </c>
      <c r="H9" s="9"/>
    </row>
    <row r="10" spans="1:15" ht="15.75" thickBot="1" x14ac:dyDescent="0.3">
      <c r="A10" s="2" t="s">
        <v>41</v>
      </c>
      <c r="B10" s="62">
        <v>3</v>
      </c>
      <c r="C10" s="62">
        <v>0</v>
      </c>
      <c r="D10" s="62">
        <v>0</v>
      </c>
      <c r="E10" s="62">
        <v>0</v>
      </c>
      <c r="F10" s="63">
        <v>3</v>
      </c>
      <c r="G10" s="46">
        <f t="shared" si="0"/>
        <v>0</v>
      </c>
      <c r="H10" s="9"/>
    </row>
    <row r="11" spans="1:15" ht="15.75" thickBot="1" x14ac:dyDescent="0.3">
      <c r="A11" s="3" t="s">
        <v>42</v>
      </c>
      <c r="B11" s="60">
        <v>0.7</v>
      </c>
      <c r="C11" s="60">
        <v>0.14000000000000001</v>
      </c>
      <c r="D11" s="60">
        <v>0</v>
      </c>
      <c r="E11" s="60">
        <v>0</v>
      </c>
      <c r="F11" s="61">
        <v>0.84</v>
      </c>
      <c r="G11" s="46">
        <f t="shared" si="0"/>
        <v>0</v>
      </c>
      <c r="H11" s="9"/>
    </row>
    <row r="12" spans="1:15" ht="15.75" thickBot="1" x14ac:dyDescent="0.3">
      <c r="A12" s="4" t="s">
        <v>43</v>
      </c>
      <c r="B12" s="64">
        <v>111.7</v>
      </c>
      <c r="C12" s="64">
        <v>35.14</v>
      </c>
      <c r="D12" s="62">
        <v>0</v>
      </c>
      <c r="E12" s="62">
        <v>0</v>
      </c>
      <c r="F12" s="65">
        <v>146.84</v>
      </c>
      <c r="G12" s="46">
        <f t="shared" si="0"/>
        <v>0</v>
      </c>
      <c r="H12" s="9"/>
    </row>
    <row r="13" spans="1:15" ht="15.75" thickBot="1" x14ac:dyDescent="0.3">
      <c r="A13" s="3" t="s">
        <v>44</v>
      </c>
      <c r="B13" s="60">
        <v>11</v>
      </c>
      <c r="C13" s="60">
        <v>3</v>
      </c>
      <c r="D13" s="60">
        <v>0</v>
      </c>
      <c r="E13" s="60">
        <v>0</v>
      </c>
      <c r="F13" s="61">
        <v>14</v>
      </c>
      <c r="G13" s="46">
        <f t="shared" si="0"/>
        <v>0</v>
      </c>
      <c r="H13" s="9"/>
    </row>
    <row r="14" spans="1:15" ht="15.75" thickBot="1" x14ac:dyDescent="0.3">
      <c r="A14" s="4" t="s">
        <v>86</v>
      </c>
      <c r="B14" s="64">
        <v>122.7</v>
      </c>
      <c r="C14" s="64">
        <v>38.14</v>
      </c>
      <c r="D14" s="62">
        <v>0</v>
      </c>
      <c r="E14" s="62">
        <v>0</v>
      </c>
      <c r="F14" s="65">
        <v>160.84</v>
      </c>
      <c r="G14" s="46">
        <f t="shared" si="0"/>
        <v>0</v>
      </c>
      <c r="H14" s="9"/>
    </row>
    <row r="15" spans="1:15" x14ac:dyDescent="0.25">
      <c r="B15" s="46"/>
      <c r="C15" s="46"/>
      <c r="D15" s="46"/>
      <c r="E15" s="46"/>
      <c r="F15" s="46"/>
      <c r="H15" s="8"/>
    </row>
    <row r="16" spans="1:15" x14ac:dyDescent="0.25">
      <c r="A16" t="s">
        <v>46</v>
      </c>
      <c r="B16" s="46">
        <f>SUM(B3:B11)-B12</f>
        <v>0</v>
      </c>
      <c r="C16" s="46">
        <f>SUM(C3:C11)-C12</f>
        <v>0</v>
      </c>
      <c r="D16" s="46"/>
      <c r="E16" s="46"/>
      <c r="F16" s="46">
        <f>SUM(F3:F11)-F12</f>
        <v>0</v>
      </c>
      <c r="H16" s="8"/>
    </row>
    <row r="17" spans="1:8" x14ac:dyDescent="0.25">
      <c r="A17" t="s">
        <v>46</v>
      </c>
      <c r="B17" s="46">
        <f>B14-B13-B12</f>
        <v>0</v>
      </c>
      <c r="C17" s="46">
        <f>C14-C13-C12</f>
        <v>0</v>
      </c>
      <c r="D17" s="46"/>
      <c r="E17" s="46"/>
      <c r="F17" s="46">
        <f>F14-F13-F12</f>
        <v>0</v>
      </c>
      <c r="H17" s="8"/>
    </row>
  </sheetData>
  <pageMargins left="0.70866141732283472" right="0.70866141732283472" top="0.74803149606299213" bottom="0.74803149606299213" header="0.31496062992125984" footer="0.31496062992125984"/>
  <pageSetup paperSize="9" scale="66"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A5523-30E0-4658-824F-1293E18CE23C}">
  <sheetPr>
    <tabColor theme="4"/>
    <pageSetUpPr fitToPage="1"/>
  </sheetPr>
  <dimension ref="A1:S23"/>
  <sheetViews>
    <sheetView showGridLines="0" zoomScaleNormal="100" workbookViewId="0"/>
  </sheetViews>
  <sheetFormatPr defaultRowHeight="15" x14ac:dyDescent="0.25"/>
  <cols>
    <col min="1" max="1" width="47.42578125" customWidth="1"/>
    <col min="2" max="2" width="2.140625" customWidth="1"/>
    <col min="3" max="3" width="12.85546875" customWidth="1"/>
    <col min="4" max="8" width="12.5703125" customWidth="1"/>
    <col min="9" max="9" width="14.140625" customWidth="1"/>
    <col min="11" max="11" width="48.85546875" customWidth="1"/>
    <col min="12" max="12" width="2.140625" customWidth="1"/>
    <col min="13" max="19" width="13" customWidth="1"/>
  </cols>
  <sheetData>
    <row r="1" spans="1:19" x14ac:dyDescent="0.25">
      <c r="A1" s="19" t="s">
        <v>72</v>
      </c>
      <c r="B1" s="19"/>
      <c r="C1" s="19"/>
      <c r="D1" s="19"/>
      <c r="E1" s="19"/>
      <c r="F1" s="19"/>
      <c r="G1" s="19"/>
      <c r="H1" s="19"/>
      <c r="K1" s="1" t="s">
        <v>56</v>
      </c>
    </row>
    <row r="2" spans="1:19" x14ac:dyDescent="0.25">
      <c r="J2" s="42" t="s">
        <v>133</v>
      </c>
      <c r="K2" s="49">
        <v>10</v>
      </c>
      <c r="M2" s="43">
        <v>10</v>
      </c>
      <c r="N2" s="44">
        <v>7.5</v>
      </c>
      <c r="O2" s="44">
        <v>12</v>
      </c>
    </row>
    <row r="3" spans="1:19" x14ac:dyDescent="0.25">
      <c r="A3" s="20"/>
      <c r="J3" s="42" t="s">
        <v>31</v>
      </c>
      <c r="K3" s="38">
        <v>7.0000000000000007E-2</v>
      </c>
      <c r="M3" s="37">
        <v>7.0000000000000007E-2</v>
      </c>
      <c r="N3" s="37">
        <v>0.03</v>
      </c>
      <c r="O3" s="37">
        <v>0.1</v>
      </c>
    </row>
    <row r="4" spans="1:19" x14ac:dyDescent="0.25">
      <c r="A4" s="20"/>
      <c r="C4" s="21" t="s">
        <v>73</v>
      </c>
      <c r="J4" s="42" t="s">
        <v>24</v>
      </c>
      <c r="K4" s="36">
        <v>5</v>
      </c>
      <c r="M4" s="23">
        <v>5</v>
      </c>
      <c r="N4" s="23">
        <v>10</v>
      </c>
      <c r="O4" s="23"/>
    </row>
    <row r="5" spans="1:19" x14ac:dyDescent="0.25">
      <c r="A5" s="22" t="s">
        <v>74</v>
      </c>
      <c r="C5" s="70">
        <f>I18</f>
        <v>163500.13715252851</v>
      </c>
    </row>
    <row r="6" spans="1:19" x14ac:dyDescent="0.25">
      <c r="A6" s="22" t="s">
        <v>76</v>
      </c>
      <c r="C6" s="70">
        <f>I23</f>
        <v>158344.8598130841</v>
      </c>
      <c r="K6" s="24" t="s">
        <v>75</v>
      </c>
      <c r="M6" s="23">
        <v>0</v>
      </c>
      <c r="N6" s="22">
        <f t="shared" ref="N6:R6" si="0">M6+1</f>
        <v>1</v>
      </c>
      <c r="O6" s="22">
        <f t="shared" si="0"/>
        <v>2</v>
      </c>
      <c r="P6" s="22">
        <f t="shared" si="0"/>
        <v>3</v>
      </c>
      <c r="Q6" s="22">
        <f t="shared" si="0"/>
        <v>4</v>
      </c>
      <c r="R6" s="22">
        <f t="shared" si="0"/>
        <v>5</v>
      </c>
    </row>
    <row r="7" spans="1:19" x14ac:dyDescent="0.25">
      <c r="A7" s="25" t="s">
        <v>78</v>
      </c>
      <c r="C7" s="71">
        <f>C5-C6</f>
        <v>5155.2773394444084</v>
      </c>
      <c r="K7" s="24" t="s">
        <v>77</v>
      </c>
      <c r="M7" s="39">
        <v>1</v>
      </c>
      <c r="N7" s="39">
        <f>1/(1+$K$3)^N6</f>
        <v>0.93457943925233644</v>
      </c>
      <c r="O7" s="39">
        <f t="shared" ref="O7:R7" si="1">1/(1+$K$3)^O6</f>
        <v>0.87343872827321156</v>
      </c>
      <c r="P7" s="39">
        <f t="shared" si="1"/>
        <v>0.81629787689085187</v>
      </c>
      <c r="Q7" s="39">
        <f t="shared" si="1"/>
        <v>0.7628952120475252</v>
      </c>
      <c r="R7" s="39">
        <f t="shared" si="1"/>
        <v>0.71298617948366838</v>
      </c>
    </row>
    <row r="8" spans="1:19" x14ac:dyDescent="0.25">
      <c r="A8" s="27" t="s">
        <v>79</v>
      </c>
      <c r="B8" s="1"/>
      <c r="C8" s="30">
        <f>C5/C6</f>
        <v>1.0325572762231112</v>
      </c>
    </row>
    <row r="9" spans="1:19" x14ac:dyDescent="0.25">
      <c r="A9" s="29" t="s">
        <v>80</v>
      </c>
      <c r="C9" s="30">
        <f>C7/I21</f>
        <v>5.1928920148008872E-2</v>
      </c>
    </row>
    <row r="11" spans="1:19" ht="15.75" x14ac:dyDescent="0.25">
      <c r="A11" s="18" t="s">
        <v>32</v>
      </c>
      <c r="K11" s="31" t="s">
        <v>10</v>
      </c>
    </row>
    <row r="12" spans="1:19" ht="15.75" x14ac:dyDescent="0.25">
      <c r="A12" s="18" t="s">
        <v>81</v>
      </c>
      <c r="C12" s="72" t="s">
        <v>94</v>
      </c>
      <c r="D12" s="73" t="s">
        <v>95</v>
      </c>
      <c r="E12" s="73" t="s">
        <v>96</v>
      </c>
      <c r="F12" s="73" t="s">
        <v>97</v>
      </c>
      <c r="G12" s="73" t="s">
        <v>98</v>
      </c>
      <c r="H12" s="73" t="s">
        <v>99</v>
      </c>
      <c r="I12" s="73" t="s">
        <v>27</v>
      </c>
      <c r="K12" s="18" t="s">
        <v>81</v>
      </c>
      <c r="M12" s="72" t="s">
        <v>94</v>
      </c>
      <c r="N12" s="73" t="s">
        <v>95</v>
      </c>
      <c r="O12" s="73" t="s">
        <v>96</v>
      </c>
      <c r="P12" s="73" t="s">
        <v>97</v>
      </c>
      <c r="Q12" s="73" t="s">
        <v>98</v>
      </c>
      <c r="R12" s="73" t="s">
        <v>99</v>
      </c>
      <c r="S12" s="73" t="s">
        <v>27</v>
      </c>
    </row>
    <row r="13" spans="1:19" x14ac:dyDescent="0.25">
      <c r="A13" s="22" t="s">
        <v>14</v>
      </c>
      <c r="C13" s="74">
        <f>M13*M$7</f>
        <v>26043.200000000001</v>
      </c>
      <c r="D13" s="74">
        <f t="shared" ref="D13:H13" si="2">N13*N$7</f>
        <v>0</v>
      </c>
      <c r="E13" s="74">
        <f t="shared" si="2"/>
        <v>0</v>
      </c>
      <c r="F13" s="74">
        <f t="shared" si="2"/>
        <v>0</v>
      </c>
      <c r="G13" s="74">
        <f t="shared" si="2"/>
        <v>0</v>
      </c>
      <c r="H13" s="74">
        <f t="shared" si="2"/>
        <v>0</v>
      </c>
      <c r="I13" s="89">
        <f>SUM(C13:H13)</f>
        <v>26043.200000000001</v>
      </c>
      <c r="K13" s="34" t="s">
        <v>14</v>
      </c>
      <c r="M13" s="76">
        <f>IF(K2=M2,'Economic Data and Calculations'!B15, IF(K2=N2, 'Economic Data and Calculations'!B16, 'Economic Data and Calculations'!B17))/1000</f>
        <v>26043.200000000001</v>
      </c>
      <c r="N13" s="76"/>
      <c r="O13" s="76"/>
      <c r="P13" s="76"/>
      <c r="Q13" s="76"/>
      <c r="R13" s="76"/>
      <c r="S13" s="88">
        <f>SUM(M13:R13)</f>
        <v>26043.200000000001</v>
      </c>
    </row>
    <row r="14" spans="1:19" x14ac:dyDescent="0.25">
      <c r="A14" s="22" t="s">
        <v>13</v>
      </c>
      <c r="C14" s="74">
        <f>M14*M$7</f>
        <v>0</v>
      </c>
      <c r="D14" s="74">
        <f t="shared" ref="D14:H15" si="3">N14*N$7</f>
        <v>4205.6074766355141</v>
      </c>
      <c r="E14" s="74">
        <f t="shared" si="3"/>
        <v>7860.9485544589043</v>
      </c>
      <c r="F14" s="74">
        <f t="shared" si="3"/>
        <v>9183.3511150220838</v>
      </c>
      <c r="G14" s="74">
        <f t="shared" si="3"/>
        <v>9612.4796717988174</v>
      </c>
      <c r="H14" s="74">
        <f>R14*R$7</f>
        <v>9625.3134230295236</v>
      </c>
      <c r="I14" s="89">
        <f>SUM(C14:H14)</f>
        <v>40487.70024094484</v>
      </c>
      <c r="K14" s="34" t="s">
        <v>13</v>
      </c>
      <c r="M14" s="76"/>
      <c r="N14" s="76">
        <f>'Economic Data and Calculations'!B40</f>
        <v>4500</v>
      </c>
      <c r="O14" s="76">
        <f>'Economic Data and Calculations'!C40</f>
        <v>9000</v>
      </c>
      <c r="P14" s="76">
        <f>'Economic Data and Calculations'!D40</f>
        <v>11250</v>
      </c>
      <c r="Q14" s="76">
        <f>'Economic Data and Calculations'!E40</f>
        <v>12600</v>
      </c>
      <c r="R14" s="76">
        <f>'Economic Data and Calculations'!F40</f>
        <v>13500</v>
      </c>
      <c r="S14" s="88">
        <f>SUM(M14:R14)</f>
        <v>50850</v>
      </c>
    </row>
    <row r="15" spans="1:19" x14ac:dyDescent="0.25">
      <c r="A15" s="22" t="s">
        <v>12</v>
      </c>
      <c r="C15" s="74">
        <f>M15*M$7</f>
        <v>0</v>
      </c>
      <c r="D15" s="74">
        <f t="shared" si="3"/>
        <v>5140.1869158878508</v>
      </c>
      <c r="E15" s="74">
        <f t="shared" si="3"/>
        <v>9607.826011005327</v>
      </c>
      <c r="F15" s="74">
        <f t="shared" si="3"/>
        <v>11224.095807249214</v>
      </c>
      <c r="G15" s="74">
        <f t="shared" si="3"/>
        <v>11748.586265531889</v>
      </c>
      <c r="H15" s="74">
        <f t="shared" si="3"/>
        <v>11764.271961480528</v>
      </c>
      <c r="I15" s="89">
        <f>SUM(C15:H15)</f>
        <v>49484.966961154802</v>
      </c>
      <c r="K15" s="34" t="s">
        <v>12</v>
      </c>
      <c r="M15" s="76"/>
      <c r="N15" s="76">
        <f>'Economic Data and Calculations'!B41</f>
        <v>5500</v>
      </c>
      <c r="O15" s="76">
        <f>'Economic Data and Calculations'!C41</f>
        <v>11000</v>
      </c>
      <c r="P15" s="76">
        <f>'Economic Data and Calculations'!D41</f>
        <v>13750</v>
      </c>
      <c r="Q15" s="76">
        <f>'Economic Data and Calculations'!E41</f>
        <v>15400</v>
      </c>
      <c r="R15" s="76">
        <f>'Economic Data and Calculations'!F41</f>
        <v>16500</v>
      </c>
      <c r="S15" s="88">
        <f>SUM(M15:R15)</f>
        <v>62150</v>
      </c>
    </row>
    <row r="16" spans="1:19" x14ac:dyDescent="0.25">
      <c r="A16" s="22" t="s">
        <v>9</v>
      </c>
      <c r="C16" s="74">
        <f t="shared" ref="C16:C17" si="4">M16*M$7</f>
        <v>0</v>
      </c>
      <c r="D16" s="74">
        <f t="shared" ref="D16:H17" si="5">N16*N$7</f>
        <v>0</v>
      </c>
      <c r="E16" s="74">
        <f t="shared" si="5"/>
        <v>13101.580924098173</v>
      </c>
      <c r="F16" s="74">
        <f t="shared" si="5"/>
        <v>12244.468153362777</v>
      </c>
      <c r="G16" s="74">
        <f t="shared" si="5"/>
        <v>11443.428180712877</v>
      </c>
      <c r="H16" s="74">
        <f t="shared" si="5"/>
        <v>10694.792692255025</v>
      </c>
      <c r="I16" s="89">
        <f t="shared" ref="I16:I17" si="6">SUM(C16:H16)</f>
        <v>47484.269950428854</v>
      </c>
      <c r="K16" s="34" t="s">
        <v>9</v>
      </c>
      <c r="M16" s="76"/>
      <c r="N16" s="76"/>
      <c r="O16" s="76">
        <f>'Economic Data and Calculations'!$A$47/1000</f>
        <v>15000</v>
      </c>
      <c r="P16" s="76">
        <f>'Economic Data and Calculations'!$A$47/1000</f>
        <v>15000</v>
      </c>
      <c r="Q16" s="76">
        <f>'Economic Data and Calculations'!$A$47/1000</f>
        <v>15000</v>
      </c>
      <c r="R16" s="76">
        <f>'Economic Data and Calculations'!$A$47/1000</f>
        <v>15000</v>
      </c>
      <c r="S16" s="88">
        <f t="shared" ref="S16:S17" si="7">SUM(M16:R16)</f>
        <v>60000</v>
      </c>
    </row>
    <row r="17" spans="1:19" x14ac:dyDescent="0.25">
      <c r="A17" s="22" t="s">
        <v>15</v>
      </c>
      <c r="C17" s="74">
        <f t="shared" si="4"/>
        <v>0</v>
      </c>
      <c r="D17" s="74">
        <f t="shared" si="5"/>
        <v>0</v>
      </c>
      <c r="E17" s="74">
        <f t="shared" si="5"/>
        <v>0</v>
      </c>
      <c r="F17" s="74">
        <f t="shared" si="5"/>
        <v>0</v>
      </c>
      <c r="G17" s="74">
        <f t="shared" si="5"/>
        <v>0</v>
      </c>
      <c r="H17" s="74">
        <f t="shared" si="5"/>
        <v>0</v>
      </c>
      <c r="I17" s="89">
        <f t="shared" si="6"/>
        <v>0</v>
      </c>
      <c r="K17" s="34" t="s">
        <v>15</v>
      </c>
      <c r="M17" s="76"/>
      <c r="N17" s="76"/>
      <c r="O17" s="76"/>
      <c r="P17" s="76"/>
      <c r="Q17" s="76"/>
      <c r="R17" s="76">
        <f>IF(K4=M4,'Economic Data and Calculations'!B57,'Economic Data and Calculations'!B58)/1000</f>
        <v>0</v>
      </c>
      <c r="S17" s="88">
        <f t="shared" si="7"/>
        <v>0</v>
      </c>
    </row>
    <row r="18" spans="1:19" x14ac:dyDescent="0.25">
      <c r="A18" s="35" t="s">
        <v>26</v>
      </c>
      <c r="C18" s="75">
        <f t="shared" ref="C18:H18" si="8">SUM(C13:C17)</f>
        <v>26043.200000000001</v>
      </c>
      <c r="D18" s="75">
        <f t="shared" si="8"/>
        <v>9345.7943925233649</v>
      </c>
      <c r="E18" s="75">
        <f t="shared" si="8"/>
        <v>30570.355489562404</v>
      </c>
      <c r="F18" s="75">
        <f t="shared" si="8"/>
        <v>32651.915075634075</v>
      </c>
      <c r="G18" s="75">
        <f t="shared" si="8"/>
        <v>32804.494118043585</v>
      </c>
      <c r="H18" s="75">
        <f t="shared" si="8"/>
        <v>32084.378076765075</v>
      </c>
      <c r="I18" s="75">
        <f>SUM(I13:I17)</f>
        <v>163500.13715252851</v>
      </c>
      <c r="K18" s="35" t="s">
        <v>26</v>
      </c>
      <c r="M18" s="75">
        <f t="shared" ref="M18:R18" si="9">SUM(M13:M17)</f>
        <v>26043.200000000001</v>
      </c>
      <c r="N18" s="75">
        <f t="shared" si="9"/>
        <v>10000</v>
      </c>
      <c r="O18" s="75">
        <f t="shared" si="9"/>
        <v>35000</v>
      </c>
      <c r="P18" s="75">
        <f t="shared" si="9"/>
        <v>40000</v>
      </c>
      <c r="Q18" s="75">
        <f t="shared" si="9"/>
        <v>43000</v>
      </c>
      <c r="R18" s="75">
        <f t="shared" si="9"/>
        <v>45000</v>
      </c>
      <c r="S18" s="75">
        <f>SUM(M18:R18)</f>
        <v>199043.20000000001</v>
      </c>
    </row>
    <row r="20" spans="1:19" ht="15.75" x14ac:dyDescent="0.25">
      <c r="A20" s="18" t="s">
        <v>82</v>
      </c>
      <c r="C20" s="32" t="s">
        <v>94</v>
      </c>
      <c r="D20" s="33" t="s">
        <v>95</v>
      </c>
      <c r="E20" s="33" t="s">
        <v>96</v>
      </c>
      <c r="F20" s="33" t="s">
        <v>97</v>
      </c>
      <c r="G20" s="33" t="s">
        <v>98</v>
      </c>
      <c r="H20" s="33" t="s">
        <v>99</v>
      </c>
      <c r="I20" s="33" t="s">
        <v>27</v>
      </c>
      <c r="K20" s="18" t="s">
        <v>82</v>
      </c>
      <c r="M20" s="72" t="s">
        <v>94</v>
      </c>
      <c r="N20" s="73" t="s">
        <v>95</v>
      </c>
      <c r="O20" s="73" t="s">
        <v>96</v>
      </c>
      <c r="P20" s="73" t="s">
        <v>97</v>
      </c>
      <c r="Q20" s="73" t="s">
        <v>98</v>
      </c>
      <c r="R20" s="73" t="s">
        <v>99</v>
      </c>
      <c r="S20" s="73" t="s">
        <v>27</v>
      </c>
    </row>
    <row r="21" spans="1:19" x14ac:dyDescent="0.25">
      <c r="A21" s="22" t="s">
        <v>28</v>
      </c>
      <c r="C21" s="74">
        <f>M21*M$7</f>
        <v>76927.804028848535</v>
      </c>
      <c r="D21" s="74">
        <f t="shared" ref="D21:H22" si="10">N21*N$7</f>
        <v>22347.846702010705</v>
      </c>
      <c r="E21" s="74">
        <f t="shared" si="10"/>
        <v>0</v>
      </c>
      <c r="F21" s="74">
        <f t="shared" si="10"/>
        <v>0</v>
      </c>
      <c r="G21" s="74">
        <f t="shared" si="10"/>
        <v>0</v>
      </c>
      <c r="H21" s="74">
        <f t="shared" si="10"/>
        <v>0</v>
      </c>
      <c r="I21" s="89">
        <f>SUM(C21:H21)</f>
        <v>99275.650730859241</v>
      </c>
      <c r="K21" s="34" t="s">
        <v>28</v>
      </c>
      <c r="M21" s="76">
        <f>'CapEx and Funding'!J3*1000</f>
        <v>76927.804028848535</v>
      </c>
      <c r="N21" s="76">
        <f>'CapEx and Funding'!K3*1000</f>
        <v>23912.195971151454</v>
      </c>
      <c r="O21" s="76"/>
      <c r="P21" s="76"/>
      <c r="Q21" s="76"/>
      <c r="R21" s="76"/>
      <c r="S21" s="88">
        <f>SUM(M21:R21)</f>
        <v>100839.99999999999</v>
      </c>
    </row>
    <row r="22" spans="1:19" x14ac:dyDescent="0.25">
      <c r="A22" s="22" t="s">
        <v>29</v>
      </c>
      <c r="C22" s="74">
        <f>M22*M$7</f>
        <v>45772.195971151457</v>
      </c>
      <c r="D22" s="74">
        <f t="shared" si="10"/>
        <v>13297.013111073407</v>
      </c>
      <c r="E22" s="74">
        <f t="shared" si="10"/>
        <v>0</v>
      </c>
      <c r="F22" s="74">
        <f t="shared" si="10"/>
        <v>0</v>
      </c>
      <c r="G22" s="74">
        <f t="shared" si="10"/>
        <v>0</v>
      </c>
      <c r="H22" s="74">
        <f t="shared" si="10"/>
        <v>0</v>
      </c>
      <c r="I22" s="89">
        <f>SUM(C22:H22)</f>
        <v>59069.209082224865</v>
      </c>
      <c r="K22" s="34" t="s">
        <v>29</v>
      </c>
      <c r="M22" s="76">
        <f>'CapEx and Funding'!J4*1000</f>
        <v>45772.195971151457</v>
      </c>
      <c r="N22" s="76">
        <f>'CapEx and Funding'!K4*1000</f>
        <v>14227.804028848546</v>
      </c>
      <c r="O22" s="76"/>
      <c r="P22" s="76"/>
      <c r="Q22" s="76"/>
      <c r="R22" s="76"/>
      <c r="S22" s="88">
        <f>SUM(M22:R22)</f>
        <v>60000</v>
      </c>
    </row>
    <row r="23" spans="1:19" x14ac:dyDescent="0.25">
      <c r="A23" s="35" t="s">
        <v>30</v>
      </c>
      <c r="C23" s="75">
        <f>SUM(C21:C22)</f>
        <v>122700</v>
      </c>
      <c r="D23" s="75">
        <f t="shared" ref="D23:I23" si="11">SUM(D21:D22)</f>
        <v>35644.859813084113</v>
      </c>
      <c r="E23" s="75">
        <f>SUM(E21:E22)</f>
        <v>0</v>
      </c>
      <c r="F23" s="75">
        <f t="shared" si="11"/>
        <v>0</v>
      </c>
      <c r="G23" s="75">
        <f t="shared" si="11"/>
        <v>0</v>
      </c>
      <c r="H23" s="75">
        <f t="shared" si="11"/>
        <v>0</v>
      </c>
      <c r="I23" s="75">
        <f t="shared" si="11"/>
        <v>158344.8598130841</v>
      </c>
      <c r="K23" s="35" t="s">
        <v>30</v>
      </c>
      <c r="M23" s="75">
        <f>SUM(M21:M22)</f>
        <v>122700</v>
      </c>
      <c r="N23" s="75">
        <f t="shared" ref="N23:S23" si="12">SUM(N21:N22)</f>
        <v>38140</v>
      </c>
      <c r="O23" s="75">
        <f>SUM(O21:O22)</f>
        <v>0</v>
      </c>
      <c r="P23" s="75">
        <f t="shared" si="12"/>
        <v>0</v>
      </c>
      <c r="Q23" s="75">
        <f t="shared" si="12"/>
        <v>0</v>
      </c>
      <c r="R23" s="75">
        <f t="shared" si="12"/>
        <v>0</v>
      </c>
      <c r="S23" s="75">
        <f t="shared" si="12"/>
        <v>160840</v>
      </c>
    </row>
  </sheetData>
  <dataValidations count="3">
    <dataValidation type="list" allowBlank="1" showInputMessage="1" showErrorMessage="1" sqref="K4" xr:uid="{2C20B255-3E4E-48C8-9D07-5135DDD57CF6}">
      <formula1>$M$4:$N$4</formula1>
    </dataValidation>
    <dataValidation type="list" allowBlank="1" showInputMessage="1" showErrorMessage="1" sqref="K3" xr:uid="{9CDC8C75-34E3-4B3F-9539-34FEC8451E65}">
      <formula1>$M$3:$O$3</formula1>
    </dataValidation>
    <dataValidation type="list" allowBlank="1" showInputMessage="1" showErrorMessage="1" sqref="K2" xr:uid="{A68F36A2-AD5A-4699-B7EF-2F3F9E3A6B18}">
      <formula1>$M$2:$O$2</formula1>
    </dataValidation>
  </dataValidations>
  <pageMargins left="0.70866141732283472" right="0.70866141732283472" top="0.74803149606299213" bottom="0.74803149606299213" header="0.31496062992125984" footer="0.31496062992125984"/>
  <pageSetup paperSize="9" scale="44" orientation="landscape" horizontalDpi="300" verticalDpi="300" r:id="rId1"/>
  <ignoredErrors>
    <ignoredError sqref="O23:R23"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DC26B-446F-4925-9CCA-BFD801D40AC2}">
  <sheetPr>
    <tabColor theme="9"/>
    <pageSetUpPr fitToPage="1"/>
  </sheetPr>
  <dimension ref="A1:U37"/>
  <sheetViews>
    <sheetView showGridLines="0" zoomScaleNormal="100" workbookViewId="0"/>
  </sheetViews>
  <sheetFormatPr defaultRowHeight="15" x14ac:dyDescent="0.25"/>
  <cols>
    <col min="1" max="1" width="8.85546875" style="16" customWidth="1"/>
    <col min="2" max="2" width="12" customWidth="1"/>
    <col min="3" max="3" width="18.42578125" customWidth="1"/>
    <col min="4" max="6" width="14.42578125" customWidth="1"/>
    <col min="10" max="10" width="23.7109375" customWidth="1"/>
    <col min="11" max="11" width="16.28515625" customWidth="1"/>
  </cols>
  <sheetData>
    <row r="1" spans="1:19" x14ac:dyDescent="0.25">
      <c r="A1" s="15" t="s">
        <v>54</v>
      </c>
    </row>
    <row r="2" spans="1:19" x14ac:dyDescent="0.25">
      <c r="A2" s="16" t="s">
        <v>69</v>
      </c>
    </row>
    <row r="4" spans="1:19" x14ac:dyDescent="0.25">
      <c r="A4" s="16" t="s">
        <v>89</v>
      </c>
    </row>
    <row r="5" spans="1:19" x14ac:dyDescent="0.25">
      <c r="C5" s="78" t="s">
        <v>55</v>
      </c>
      <c r="E5" s="1" t="s">
        <v>67</v>
      </c>
    </row>
    <row r="6" spans="1:19" x14ac:dyDescent="0.25">
      <c r="B6" s="1" t="s">
        <v>33</v>
      </c>
      <c r="C6" s="26">
        <v>5155.2773394444084</v>
      </c>
      <c r="E6" t="s">
        <v>68</v>
      </c>
    </row>
    <row r="7" spans="1:19" x14ac:dyDescent="0.25">
      <c r="B7" s="1" t="s">
        <v>34</v>
      </c>
      <c r="C7" s="28">
        <v>1.0325572762231112</v>
      </c>
      <c r="E7" t="s">
        <v>134</v>
      </c>
    </row>
    <row r="8" spans="1:19" x14ac:dyDescent="0.25">
      <c r="B8" s="1" t="s">
        <v>35</v>
      </c>
      <c r="C8" s="30">
        <v>5.1928920148008872E-2</v>
      </c>
      <c r="E8" t="s">
        <v>142</v>
      </c>
    </row>
    <row r="10" spans="1:19" ht="32.25" customHeight="1" x14ac:dyDescent="0.25">
      <c r="A10" s="16" t="s">
        <v>87</v>
      </c>
      <c r="H10" s="1"/>
      <c r="K10" s="1" t="s">
        <v>70</v>
      </c>
    </row>
    <row r="11" spans="1:19" x14ac:dyDescent="0.25">
      <c r="B11" s="1" t="s">
        <v>61</v>
      </c>
      <c r="C11" s="77" t="s">
        <v>31</v>
      </c>
      <c r="D11" s="79">
        <f>'Cost-Benefit Analysis'!N3</f>
        <v>0.03</v>
      </c>
      <c r="E11" s="79">
        <f>'Cost-Benefit Analysis'!M3</f>
        <v>7.0000000000000007E-2</v>
      </c>
      <c r="F11" s="79">
        <f>'Cost-Benefit Analysis'!O3</f>
        <v>0.1</v>
      </c>
      <c r="H11" s="10" t="s">
        <v>71</v>
      </c>
      <c r="I11" s="10"/>
      <c r="J11" s="10"/>
      <c r="K11" s="10"/>
      <c r="L11" s="10"/>
      <c r="M11" s="10"/>
      <c r="N11" s="10"/>
      <c r="O11" s="10"/>
      <c r="P11" s="10"/>
      <c r="Q11" s="10"/>
      <c r="R11" s="10"/>
      <c r="S11" s="10"/>
    </row>
    <row r="12" spans="1:19" x14ac:dyDescent="0.25">
      <c r="C12" s="92" t="s">
        <v>33</v>
      </c>
      <c r="D12" s="93">
        <v>22641.673201955244</v>
      </c>
      <c r="E12" s="93">
        <v>5155.2773394444084</v>
      </c>
      <c r="F12" s="93">
        <v>-5949.3681926843419</v>
      </c>
    </row>
    <row r="13" spans="1:19" x14ac:dyDescent="0.25">
      <c r="C13" s="92" t="s">
        <v>34</v>
      </c>
      <c r="D13" s="94">
        <v>1.1417504354946415</v>
      </c>
      <c r="E13" s="94">
        <v>1.0325572762231112</v>
      </c>
      <c r="F13" s="94">
        <v>0.96219568475563066</v>
      </c>
    </row>
    <row r="14" spans="1:19" x14ac:dyDescent="0.25">
      <c r="C14" s="92" t="s">
        <v>35</v>
      </c>
      <c r="D14" s="94">
        <v>0.22609222575325397</v>
      </c>
      <c r="E14" s="94">
        <v>5.1928920148008872E-2</v>
      </c>
      <c r="F14" s="94">
        <v>-6.0297957793577599E-2</v>
      </c>
    </row>
    <row r="16" spans="1:19" x14ac:dyDescent="0.25">
      <c r="C16" s="77" t="s">
        <v>57</v>
      </c>
      <c r="D16" s="91">
        <f>'Cost-Benefit Analysis'!N2</f>
        <v>7.5</v>
      </c>
      <c r="E16" s="91">
        <f>'Cost-Benefit Analysis'!M2</f>
        <v>10</v>
      </c>
      <c r="F16" s="91">
        <f>'Cost-Benefit Analysis'!O2</f>
        <v>12</v>
      </c>
      <c r="H16" s="10" t="s">
        <v>135</v>
      </c>
      <c r="I16" s="10"/>
      <c r="J16" s="10"/>
      <c r="K16" s="10"/>
      <c r="L16" s="10"/>
      <c r="M16" s="10"/>
      <c r="N16" s="10"/>
      <c r="O16" s="10"/>
      <c r="P16" s="10"/>
      <c r="Q16" s="10"/>
      <c r="R16" s="10"/>
      <c r="S16" s="10"/>
    </row>
    <row r="17" spans="1:21" x14ac:dyDescent="0.25">
      <c r="C17" s="1" t="s">
        <v>33</v>
      </c>
      <c r="D17" s="41">
        <v>-1355.522660555609</v>
      </c>
      <c r="E17" s="41">
        <v>5155.2773394444084</v>
      </c>
      <c r="F17" s="41">
        <v>10363.917339444393</v>
      </c>
      <c r="H17" s="10" t="s">
        <v>83</v>
      </c>
      <c r="I17" s="10"/>
      <c r="J17" s="10"/>
      <c r="K17" s="10"/>
      <c r="L17" s="10"/>
      <c r="M17" s="10"/>
      <c r="N17" s="10"/>
      <c r="O17" s="10"/>
      <c r="P17" s="10"/>
      <c r="Q17" s="10"/>
      <c r="R17" s="10"/>
      <c r="S17" s="10"/>
    </row>
    <row r="18" spans="1:21" x14ac:dyDescent="0.25">
      <c r="C18" s="1" t="s">
        <v>34</v>
      </c>
      <c r="D18" s="13">
        <v>0.99143942744869828</v>
      </c>
      <c r="E18" s="40">
        <v>1.0325572762231112</v>
      </c>
      <c r="F18" s="13">
        <v>1.0654515552426416</v>
      </c>
      <c r="H18" s="10" t="s">
        <v>84</v>
      </c>
      <c r="I18" s="10"/>
      <c r="J18" s="10"/>
      <c r="K18" s="10"/>
      <c r="L18" s="10"/>
      <c r="M18" s="10"/>
      <c r="N18" s="10"/>
      <c r="O18" s="10"/>
      <c r="P18" s="10"/>
      <c r="Q18" s="10"/>
      <c r="R18" s="10"/>
      <c r="S18" s="10"/>
    </row>
    <row r="19" spans="1:21" x14ac:dyDescent="0.25">
      <c r="C19" s="1" t="s">
        <v>35</v>
      </c>
      <c r="D19" s="13">
        <v>-1.3654130197851758E-2</v>
      </c>
      <c r="E19" s="40">
        <v>5.1928920148008872E-2</v>
      </c>
      <c r="F19" s="13">
        <v>0.10439536042469709</v>
      </c>
      <c r="H19" s="10" t="s">
        <v>85</v>
      </c>
      <c r="I19" s="10"/>
      <c r="J19" s="10"/>
      <c r="K19" s="10"/>
      <c r="L19" s="10"/>
      <c r="M19" s="10"/>
      <c r="N19" s="10"/>
      <c r="O19" s="10"/>
      <c r="P19" s="10"/>
      <c r="Q19" s="10"/>
      <c r="R19" s="10"/>
      <c r="S19" s="10"/>
    </row>
    <row r="21" spans="1:21" x14ac:dyDescent="0.25">
      <c r="C21" s="77" t="s">
        <v>60</v>
      </c>
      <c r="D21" s="80" t="s">
        <v>62</v>
      </c>
      <c r="E21" s="80" t="s">
        <v>63</v>
      </c>
      <c r="F21" s="77"/>
      <c r="H21" s="10" t="s">
        <v>138</v>
      </c>
      <c r="I21" s="10"/>
      <c r="J21" s="10"/>
      <c r="K21" s="10"/>
      <c r="L21" s="10"/>
      <c r="M21" s="10"/>
      <c r="N21" s="10"/>
      <c r="O21" s="10"/>
      <c r="P21" s="10"/>
      <c r="Q21" s="10"/>
      <c r="R21" s="10"/>
      <c r="S21" s="10"/>
    </row>
    <row r="22" spans="1:21" x14ac:dyDescent="0.25">
      <c r="C22" s="1" t="s">
        <v>33</v>
      </c>
      <c r="D22" s="41">
        <v>5155.2773394444084</v>
      </c>
      <c r="E22" s="41">
        <v>62493.625893521035</v>
      </c>
    </row>
    <row r="23" spans="1:21" x14ac:dyDescent="0.25">
      <c r="C23" s="1" t="s">
        <v>34</v>
      </c>
      <c r="D23" s="40">
        <v>1.0325572762231112</v>
      </c>
      <c r="E23" s="13">
        <v>1.3946678532368575</v>
      </c>
    </row>
    <row r="24" spans="1:21" x14ac:dyDescent="0.25">
      <c r="C24" s="1" t="s">
        <v>35</v>
      </c>
      <c r="D24" s="40">
        <v>5.1928920148008872E-2</v>
      </c>
      <c r="E24" s="13">
        <v>0.62949600867330568</v>
      </c>
    </row>
    <row r="26" spans="1:21" x14ac:dyDescent="0.25">
      <c r="A26" s="16" t="s">
        <v>88</v>
      </c>
    </row>
    <row r="27" spans="1:21" x14ac:dyDescent="0.25">
      <c r="C27" s="81" t="s">
        <v>11</v>
      </c>
      <c r="D27" s="90" t="s">
        <v>55</v>
      </c>
      <c r="E27" s="82"/>
      <c r="F27" s="82"/>
      <c r="G27" s="82"/>
      <c r="H27" s="82"/>
      <c r="I27" s="82"/>
      <c r="J27" s="82"/>
      <c r="K27" s="81"/>
      <c r="L27" s="81"/>
      <c r="M27" s="82"/>
      <c r="N27" s="82"/>
      <c r="O27" s="82"/>
      <c r="P27" s="82"/>
      <c r="Q27" s="82"/>
      <c r="R27" s="82"/>
      <c r="S27" s="82"/>
      <c r="T27" s="82"/>
      <c r="U27" s="82"/>
    </row>
    <row r="28" spans="1:21" x14ac:dyDescent="0.25">
      <c r="D28" s="47">
        <v>26043.200000000001</v>
      </c>
      <c r="E28" s="14" t="s">
        <v>141</v>
      </c>
      <c r="K28" s="41"/>
    </row>
    <row r="29" spans="1:21" x14ac:dyDescent="0.25">
      <c r="D29" s="47">
        <v>40487.70024094484</v>
      </c>
      <c r="E29" s="14" t="s">
        <v>59</v>
      </c>
      <c r="K29" s="41"/>
    </row>
    <row r="30" spans="1:21" x14ac:dyDescent="0.25">
      <c r="D30" s="47">
        <v>49484.966961154802</v>
      </c>
      <c r="E30" s="14" t="s">
        <v>58</v>
      </c>
      <c r="K30" s="41"/>
    </row>
    <row r="31" spans="1:21" x14ac:dyDescent="0.25">
      <c r="D31" s="47">
        <v>47484.269950428854</v>
      </c>
      <c r="E31" s="14" t="s">
        <v>139</v>
      </c>
      <c r="K31" s="41"/>
    </row>
    <row r="32" spans="1:21" x14ac:dyDescent="0.25">
      <c r="D32" s="47">
        <v>0</v>
      </c>
      <c r="E32" t="s">
        <v>140</v>
      </c>
      <c r="K32" s="41"/>
    </row>
    <row r="34" spans="3:21" x14ac:dyDescent="0.25">
      <c r="C34" s="83" t="s">
        <v>0</v>
      </c>
      <c r="D34" s="84"/>
      <c r="E34" s="84"/>
      <c r="F34" s="84"/>
      <c r="G34" s="84"/>
      <c r="H34" s="84"/>
      <c r="I34" s="84"/>
      <c r="J34" s="84"/>
      <c r="K34" s="84"/>
      <c r="L34" s="84"/>
      <c r="M34" s="84"/>
      <c r="N34" s="84"/>
      <c r="O34" s="84"/>
      <c r="P34" s="84"/>
      <c r="Q34" s="84"/>
      <c r="R34" s="84"/>
      <c r="S34" s="84"/>
      <c r="T34" s="84"/>
      <c r="U34" s="84"/>
    </row>
    <row r="35" spans="3:21" x14ac:dyDescent="0.25">
      <c r="D35" s="41">
        <v>158344.8598130841</v>
      </c>
      <c r="E35" t="s">
        <v>64</v>
      </c>
      <c r="K35" s="41"/>
    </row>
    <row r="37" spans="3:21" x14ac:dyDescent="0.25">
      <c r="C37" s="85" t="s">
        <v>65</v>
      </c>
      <c r="D37" s="86" t="s">
        <v>66</v>
      </c>
      <c r="E37" s="86"/>
      <c r="F37" s="86"/>
      <c r="G37" s="86"/>
      <c r="H37" s="86"/>
      <c r="I37" s="86"/>
      <c r="J37" s="86"/>
      <c r="K37" s="86"/>
      <c r="L37" s="86"/>
      <c r="M37" s="86"/>
      <c r="N37" s="86"/>
      <c r="O37" s="86"/>
      <c r="P37" s="86"/>
      <c r="Q37" s="86"/>
      <c r="R37" s="86"/>
      <c r="S37" s="86"/>
      <c r="T37" s="86"/>
      <c r="U37" s="86"/>
    </row>
  </sheetData>
  <pageMargins left="0.7" right="0.7" top="0.75" bottom="0.75" header="0.3" footer="0.3"/>
  <pageSetup paperSize="9" scale="35" fitToHeight="0" orientation="portrait" horizontalDpi="300" verticalDpi="300" r:id="rId1"/>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4E3871FEBC3EDC3EE0531950520A6160" version="1.0.0">
  <systemFields>
    <field name="Objective-Id">
      <value order="0">A5114102</value>
    </field>
    <field name="Objective-Title">
      <value order="0">Opal Lakes Dropbear Conservation Park - CBA Worked Example - Current</value>
    </field>
    <field name="Objective-Description">
      <value order="0"/>
    </field>
    <field name="Objective-CreationStamp">
      <value order="0">2021-08-20T06:09:00Z</value>
    </field>
    <field name="Objective-IsApproved">
      <value order="0">false</value>
    </field>
    <field name="Objective-IsPublished">
      <value order="0">false</value>
    </field>
    <field name="Objective-DatePublished">
      <value order="0"/>
    </field>
    <field name="Objective-ModificationStamp">
      <value order="0">2021-09-24T02:20:15Z</value>
    </field>
    <field name="Objective-Owner">
      <value order="0">Jeremy Tarbox</value>
    </field>
    <field name="Objective-Path">
      <value order="0">Objective Global Folder:Investment NSW:Strategy and Performance:Economic Appraisals and Evaluation Team:Economic Appraisals:Library:PSC Virtual Internship Economics Module:Version - Final</value>
    </field>
    <field name="Objective-Parent">
      <value order="0">Version - Final</value>
    </field>
    <field name="Objective-State">
      <value order="0">Being Drafted</value>
    </field>
    <field name="Objective-VersionId">
      <value order="0">vA9063238</value>
    </field>
    <field name="Objective-Version">
      <value order="0">0.9</value>
    </field>
    <field name="Objective-VersionNumber">
      <value order="0">9</value>
    </field>
    <field name="Objective-VersionComment">
      <value order="0"/>
    </field>
    <field name="Objective-FileNumber">
      <value order="0">DPC21/00878</value>
    </field>
    <field name="Objective-Classification">
      <value order="0"/>
    </field>
    <field name="Objective-Caveats">
      <value order="0"/>
    </field>
  </systemFields>
  <catalogues>
    <catalogue name="Document Type Catalogue" type="type" ori="id:cA17">
      <field name="Objective-Sensitivity Label">
        <value order="0">For Official Use Only</value>
      </field>
      <field name="Objective-Document Type">
        <value order="0">Data / Database (DAT)</value>
      </field>
      <field name="Objective-Approval Status">
        <value order="0">Never Submitted</value>
      </field>
      <field name="Objective-Approval Due">
        <value order="0"/>
      </field>
      <field name="Objective-Approval Date">
        <value order="0"/>
      </field>
      <field name="Objective-Submitted By">
        <value order="0">Jeremy Tarbox</value>
      </field>
      <field name="Objective-Current Approver">
        <value order="0"/>
      </field>
      <field name="Objective-Approval History">
        <value order="0"/>
      </field>
      <field name="Objective-Print and Dispatch Approach">
        <value order="0"/>
      </field>
      <field name="Objective-Print and Dispatch Instructions">
        <value order="0"/>
      </field>
      <field name="Objective-Document Tag(s)">
        <value order="0"/>
      </field>
      <field name="Objective-Shared By">
        <value order="0"/>
      </field>
      <field name="Objective-Connect Creator">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4E3871FEBC3EDC3EE0531950520A616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Notes</vt:lpstr>
      <vt:lpstr>Economic Data and Calculations</vt:lpstr>
      <vt:lpstr>CapEx and Funding</vt:lpstr>
      <vt:lpstr>Cost-Benefit Analysis</vt:lpstr>
      <vt:lpstr>Minister Brief (sample answers)</vt:lpstr>
      <vt:lpstr>'Economic Data and Calculations'!Print_Area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2021-08-16T05:01:45Z</dcterms:created>
  <dcterms:modified xsi:type="dcterms:W3CDTF">2021-09-24T02:20:10Z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A5114102</vt:lpwstr>
  </property>
  <property fmtid="{D5CDD505-2E9C-101B-9397-08002B2CF9AE}" pid="4" name="Objective-Title">
    <vt:lpwstr>Opal Lakes Dropbear Conservation Park - CBA Worked Example - Current</vt:lpwstr>
  </property>
  <property fmtid="{D5CDD505-2E9C-101B-9397-08002B2CF9AE}" pid="5" name="Objective-Description">
    <vt:lpwstr/>
  </property>
  <property fmtid="{D5CDD505-2E9C-101B-9397-08002B2CF9AE}" pid="6" name="Objective-CreationStamp">
    <vt:filetime>2021-08-20T06:09:00Z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2021-09-24T02:20:15Z</vt:filetime>
  </property>
  <property fmtid="{D5CDD505-2E9C-101B-9397-08002B2CF9AE}" pid="11" name="Objective-Owner">
    <vt:lpwstr>Jeremy Tarbox</vt:lpwstr>
  </property>
  <property fmtid="{D5CDD505-2E9C-101B-9397-08002B2CF9AE}" pid="12" name="Objective-Path">
    <vt:lpwstr>Objective Global Folder:Investment NSW:Strategy and Performance:Economic Appraisals and Evaluation Team:Economic Appraisals:Library:PSC Virtual Internship Economics Module:Version - Final</vt:lpwstr>
  </property>
  <property fmtid="{D5CDD505-2E9C-101B-9397-08002B2CF9AE}" pid="13" name="Objective-Parent">
    <vt:lpwstr>Version - Final</vt:lpwstr>
  </property>
  <property fmtid="{D5CDD505-2E9C-101B-9397-08002B2CF9AE}" pid="14" name="Objective-State">
    <vt:lpwstr>Being Drafted</vt:lpwstr>
  </property>
  <property fmtid="{D5CDD505-2E9C-101B-9397-08002B2CF9AE}" pid="15" name="Objective-VersionId">
    <vt:lpwstr>vA9063238</vt:lpwstr>
  </property>
  <property fmtid="{D5CDD505-2E9C-101B-9397-08002B2CF9AE}" pid="16" name="Objective-Version">
    <vt:lpwstr>0.9</vt:lpwstr>
  </property>
  <property fmtid="{D5CDD505-2E9C-101B-9397-08002B2CF9AE}" pid="17" name="Objective-VersionNumber">
    <vt:r8>9</vt:r8>
  </property>
  <property fmtid="{D5CDD505-2E9C-101B-9397-08002B2CF9AE}" pid="18" name="Objective-VersionComment">
    <vt:lpwstr/>
  </property>
  <property fmtid="{D5CDD505-2E9C-101B-9397-08002B2CF9AE}" pid="19" name="Objective-FileNumber">
    <vt:lpwstr>DPC21/00878</vt:lpwstr>
  </property>
  <property fmtid="{D5CDD505-2E9C-101B-9397-08002B2CF9AE}" pid="20" name="Objective-Classification">
    <vt:lpwstr/>
  </property>
  <property fmtid="{D5CDD505-2E9C-101B-9397-08002B2CF9AE}" pid="21" name="Objective-Caveats">
    <vt:lpwstr/>
  </property>
  <property fmtid="{D5CDD505-2E9C-101B-9397-08002B2CF9AE}" pid="22" name="Objective-Sensitivity Label">
    <vt:lpwstr>For Official Use Only</vt:lpwstr>
  </property>
  <property fmtid="{D5CDD505-2E9C-101B-9397-08002B2CF9AE}" pid="23" name="Objective-Document Type">
    <vt:lpwstr>Data / Database (DAT)</vt:lpwstr>
  </property>
  <property fmtid="{D5CDD505-2E9C-101B-9397-08002B2CF9AE}" pid="24" name="Objective-Approval Status">
    <vt:lpwstr>Never Submitted</vt:lpwstr>
  </property>
  <property fmtid="{D5CDD505-2E9C-101B-9397-08002B2CF9AE}" pid="25" name="Objective-Approval Due">
    <vt:lpwstr/>
  </property>
  <property fmtid="{D5CDD505-2E9C-101B-9397-08002B2CF9AE}" pid="26" name="Objective-Approval Date">
    <vt:lpwstr/>
  </property>
  <property fmtid="{D5CDD505-2E9C-101B-9397-08002B2CF9AE}" pid="27" name="Objective-Submitted By">
    <vt:lpwstr>Jeremy Tarbox</vt:lpwstr>
  </property>
  <property fmtid="{D5CDD505-2E9C-101B-9397-08002B2CF9AE}" pid="28" name="Objective-Current Approver">
    <vt:lpwstr/>
  </property>
  <property fmtid="{D5CDD505-2E9C-101B-9397-08002B2CF9AE}" pid="29" name="Objective-Approval History">
    <vt:lpwstr/>
  </property>
  <property fmtid="{D5CDD505-2E9C-101B-9397-08002B2CF9AE}" pid="30" name="Objective-Print and Dispatch Approach">
    <vt:lpwstr/>
  </property>
  <property fmtid="{D5CDD505-2E9C-101B-9397-08002B2CF9AE}" pid="31" name="Objective-Print and Dispatch Instructions">
    <vt:lpwstr/>
  </property>
  <property fmtid="{D5CDD505-2E9C-101B-9397-08002B2CF9AE}" pid="32" name="Objective-Document Tag(s)">
    <vt:lpwstr/>
  </property>
  <property fmtid="{D5CDD505-2E9C-101B-9397-08002B2CF9AE}" pid="33" name="Objective-Shared By">
    <vt:lpwstr/>
  </property>
  <property fmtid="{D5CDD505-2E9C-101B-9397-08002B2CF9AE}" pid="34" name="Objective-Connect Creator">
    <vt:lpwstr/>
  </property>
</Properties>
</file>