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ng" sheetId="1" r:id="rId3"/>
    <sheet state="visible" name="Gravity" sheetId="2" r:id="rId4"/>
    <sheet state="visible" name="Orbit v" sheetId="3" r:id="rId5"/>
    <sheet state="visible" name="Rotation" sheetId="4" r:id="rId6"/>
    <sheet state="visible" name="Transports" sheetId="5" r:id="rId7"/>
    <sheet state="visible" name="Alliance of Former US" sheetId="6" r:id="rId8"/>
    <sheet state="visible" name="Time to stars" sheetId="7" r:id="rId9"/>
    <sheet state="visible" name="Funding" sheetId="8" r:id="rId10"/>
  </sheets>
  <definedNames>
    <definedName hidden="1" localSheetId="5" name="_xlnm._FilterDatabase">'Alliance of Former US'!$A$1:$O$1000</definedName>
  </definedNames>
  <calcPr/>
</workbook>
</file>

<file path=xl/sharedStrings.xml><?xml version="1.0" encoding="utf-8"?>
<sst xmlns="http://schemas.openxmlformats.org/spreadsheetml/2006/main" count="269" uniqueCount="210">
  <si>
    <t>Gravity at distance r from Earth's surface</t>
  </si>
  <si>
    <t>G (m3 kg-1 s-2)</t>
  </si>
  <si>
    <t>M kg)</t>
  </si>
  <si>
    <t>r (m)</t>
  </si>
  <si>
    <t>Fg (N)</t>
  </si>
  <si>
    <t>Fg(lbf)</t>
  </si>
  <si>
    <t>Artificial gravity ring calculations</t>
  </si>
  <si>
    <t>a = -w^2r</t>
  </si>
  <si>
    <t>v=wr</t>
  </si>
  <si>
    <t>g = -9.8 m/s2</t>
  </si>
  <si>
    <t>Maria's weight (kg)</t>
  </si>
  <si>
    <t>Me (kg)</t>
  </si>
  <si>
    <t>s per rotation</t>
  </si>
  <si>
    <t>w (radian/s)</t>
  </si>
  <si>
    <t>v (m/s)</t>
  </si>
  <si>
    <t>m/s2</t>
  </si>
  <si>
    <t>a/g</t>
  </si>
  <si>
    <t>Orbital velocity (circular)</t>
  </si>
  <si>
    <t>v = sqrt((GM)/r)</t>
  </si>
  <si>
    <t>P = 2pi*sqrt(r^3/G*M)</t>
  </si>
  <si>
    <t>v (km/hr)</t>
  </si>
  <si>
    <t>v(mph)</t>
  </si>
  <si>
    <t>v(k/s)</t>
  </si>
  <si>
    <t>Period (s)</t>
  </si>
  <si>
    <t>Period (min)</t>
  </si>
  <si>
    <t>Period (hrs)</t>
  </si>
  <si>
    <t>Surface</t>
  </si>
  <si>
    <t>330 km orbit--like ISS</t>
  </si>
  <si>
    <t>3300 km orbit</t>
  </si>
  <si>
    <t>at Earth surface</t>
  </si>
  <si>
    <t>33,000  km orbit</t>
  </si>
  <si>
    <t>at ISS (330 km)</t>
  </si>
  <si>
    <t>33,000 km orbit</t>
  </si>
  <si>
    <t xml:space="preserve">Orbital period and velocity (elliptical) </t>
  </si>
  <si>
    <t>International Space Station</t>
  </si>
  <si>
    <t>a =</t>
  </si>
  <si>
    <t>meters</t>
  </si>
  <si>
    <t xml:space="preserve">G = </t>
  </si>
  <si>
    <t xml:space="preserve">M = </t>
  </si>
  <si>
    <t>P = 2pi*sqrt(a^3/(G*M))</t>
  </si>
  <si>
    <t>P =</t>
  </si>
  <si>
    <t>sec</t>
  </si>
  <si>
    <t>min</t>
  </si>
  <si>
    <t>Stanford torus</t>
  </si>
  <si>
    <t>Rotational speed, Earth surface at selected latitudes</t>
  </si>
  <si>
    <t>Maximum Earth Radius (km) at Equator</t>
  </si>
  <si>
    <t>Radius at latitide (L) = Equatatorial radius * cos(L)</t>
  </si>
  <si>
    <t>Lat (deg)</t>
  </si>
  <si>
    <t xml:space="preserve">Lat (rad) </t>
  </si>
  <si>
    <t>Cos(Lat)</t>
  </si>
  <si>
    <t>Radius (km)</t>
  </si>
  <si>
    <t>Distance (km)</t>
  </si>
  <si>
    <t>Speed (km/hr)</t>
  </si>
  <si>
    <t>Speed (mph)</t>
  </si>
  <si>
    <t>Countries at Equator</t>
  </si>
  <si>
    <t>Gabon</t>
  </si>
  <si>
    <t>Congo</t>
  </si>
  <si>
    <t>Uganda</t>
  </si>
  <si>
    <t>Kenya</t>
  </si>
  <si>
    <t>Indonesia</t>
  </si>
  <si>
    <t>Ecuador</t>
  </si>
  <si>
    <t>Columbia</t>
  </si>
  <si>
    <t>Venuzela</t>
  </si>
  <si>
    <t>Brazil</t>
  </si>
  <si>
    <t>São Tomé and Príncipe</t>
  </si>
  <si>
    <t>Somalia</t>
  </si>
  <si>
    <t>Maldives</t>
  </si>
  <si>
    <t>Greald R Ford Class Carrier</t>
  </si>
  <si>
    <t>length (m)</t>
  </si>
  <si>
    <t>width (m)</t>
  </si>
  <si>
    <t>height (m)</t>
  </si>
  <si>
    <t>decks</t>
  </si>
  <si>
    <t>area (m2)</t>
  </si>
  <si>
    <t>area (hectare)</t>
  </si>
  <si>
    <t>area (acre)</t>
  </si>
  <si>
    <t>volume (m3)</t>
  </si>
  <si>
    <t>Model</t>
  </si>
  <si>
    <t>Length (m)</t>
  </si>
  <si>
    <t>Width (m)</t>
  </si>
  <si>
    <t>Height (m)</t>
  </si>
  <si>
    <t>Decks</t>
  </si>
  <si>
    <t>Area (m2)</t>
  </si>
  <si>
    <t>Large</t>
  </si>
  <si>
    <t>Burj Khalif</t>
  </si>
  <si>
    <t>State</t>
  </si>
  <si>
    <t>Federation</t>
  </si>
  <si>
    <t>GDP (millions)</t>
  </si>
  <si>
    <t>GDP ($)</t>
  </si>
  <si>
    <t>Alabama</t>
  </si>
  <si>
    <t>Dixie</t>
  </si>
  <si>
    <t xml:space="preserve">population </t>
  </si>
  <si>
    <t>vol per person (m3)</t>
  </si>
  <si>
    <t>area @ 3 m height</t>
  </si>
  <si>
    <t>Florida</t>
  </si>
  <si>
    <t>Georgia</t>
  </si>
  <si>
    <t>Kentucky</t>
  </si>
  <si>
    <t>Actual space per passenger (m3)</t>
  </si>
  <si>
    <t>Louisiana</t>
  </si>
  <si>
    <t>25 m2</t>
  </si>
  <si>
    <t>Mississippi</t>
  </si>
  <si>
    <t>North Carolina</t>
  </si>
  <si>
    <t>South Carolina</t>
  </si>
  <si>
    <t>Tennessee</t>
  </si>
  <si>
    <t>Virginia</t>
  </si>
  <si>
    <t>West Virginia</t>
  </si>
  <si>
    <t>Enterprise</t>
  </si>
  <si>
    <t>Illinois</t>
  </si>
  <si>
    <t>Indiana</t>
  </si>
  <si>
    <t>Michigan</t>
  </si>
  <si>
    <t>Ohio</t>
  </si>
  <si>
    <t>Wisconsin</t>
  </si>
  <si>
    <t>Minnesota</t>
  </si>
  <si>
    <t>Delaware</t>
  </si>
  <si>
    <t>First America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</si>
  <si>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</si>
  <si>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</si>
  <si>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</si>
  <si>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</si>
  <si>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</si>
  <si>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</si>
  <si>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</si>
  <si>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</si>
  <si>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</si>
  <si>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Connecticut</t>
  </si>
  <si>
    <t>Iowa</t>
  </si>
  <si>
    <t>Heartland</t>
  </si>
  <si>
    <t>Kansas</t>
  </si>
  <si>
    <t>Nebraska</t>
  </si>
  <si>
    <t>North Dakota</t>
  </si>
  <si>
    <t>South Dakota</t>
  </si>
  <si>
    <t>Arkansas</t>
  </si>
  <si>
    <t>Lone Star</t>
  </si>
  <si>
    <t>Missouri</t>
  </si>
  <si>
    <t>New Mexico</t>
  </si>
  <si>
    <t>Oklahoma</t>
  </si>
  <si>
    <t>Texas</t>
  </si>
  <si>
    <t>Arizona</t>
  </si>
  <si>
    <t>Mountain Paradise</t>
  </si>
  <si>
    <t>Colorado</t>
  </si>
  <si>
    <t>Idaho</t>
  </si>
  <si>
    <t>Montana</t>
  </si>
  <si>
    <t>Nevada</t>
  </si>
  <si>
    <t>Utah</t>
  </si>
  <si>
    <t>Wyoming</t>
  </si>
  <si>
    <t>Alaska</t>
  </si>
  <si>
    <t>Pacifica</t>
  </si>
  <si>
    <t>California</t>
  </si>
  <si>
    <t>Hawaii</t>
  </si>
  <si>
    <t>Oregon</t>
  </si>
  <si>
    <t>Washington</t>
  </si>
  <si>
    <t>Star</t>
  </si>
  <si>
    <t>Distance (ly)</t>
  </si>
  <si>
    <t>Ship v (c)</t>
  </si>
  <si>
    <t>Boost</t>
  </si>
  <si>
    <t>Warp speed (c)</t>
  </si>
  <si>
    <t>T (yr)</t>
  </si>
  <si>
    <t>T(d)</t>
  </si>
  <si>
    <t>T(hr)</t>
  </si>
  <si>
    <t>Alpha Centauri</t>
  </si>
  <si>
    <t>Test flight distance</t>
  </si>
  <si>
    <t>T(min)</t>
  </si>
  <si>
    <t>D (km)</t>
  </si>
  <si>
    <t xml:space="preserve">Voyager 1 distance </t>
  </si>
  <si>
    <t>https://voyager.jpl.nasa.gov/mission/status/</t>
  </si>
  <si>
    <t>AU</t>
  </si>
  <si>
    <t>km</t>
  </si>
  <si>
    <t>Ship acceleration time to 0.1c at fixed a</t>
  </si>
  <si>
    <t>v0 (mph)</t>
  </si>
  <si>
    <t>v0 (k/s)</t>
  </si>
  <si>
    <t>c (k/s)</t>
  </si>
  <si>
    <t>0.1c</t>
  </si>
  <si>
    <t>a (k/s2)</t>
  </si>
  <si>
    <t>t (days)</t>
  </si>
  <si>
    <t>t (s)</t>
  </si>
  <si>
    <t>vf (k/s)</t>
  </si>
  <si>
    <t>vf/0.1c</t>
  </si>
  <si>
    <t>Known Worlds planet</t>
  </si>
  <si>
    <t>Constant acceleration at 0.01g, currently traveling at 0.1c, 100 years needed to reach this velocity</t>
  </si>
  <si>
    <t>t(yr)</t>
  </si>
  <si>
    <t>t (min)</t>
  </si>
  <si>
    <t>LOCATION</t>
  </si>
  <si>
    <t>TIME</t>
  </si>
  <si>
    <t>Value</t>
  </si>
  <si>
    <t>2016 Dollars</t>
  </si>
  <si>
    <t>Euro</t>
  </si>
  <si>
    <t>2036 Euros</t>
  </si>
  <si>
    <t>CHN</t>
  </si>
  <si>
    <t>USA</t>
  </si>
  <si>
    <t>IND</t>
  </si>
  <si>
    <t>JPN</t>
  </si>
  <si>
    <t>DEU</t>
  </si>
  <si>
    <t>RUS</t>
  </si>
  <si>
    <t>BRA</t>
  </si>
  <si>
    <t>IDN</t>
  </si>
  <si>
    <t>GBR</t>
  </si>
  <si>
    <t>FRA</t>
  </si>
  <si>
    <t>ITA</t>
  </si>
  <si>
    <t>MEX</t>
  </si>
  <si>
    <t>TUR</t>
  </si>
  <si>
    <t>KOR</t>
  </si>
  <si>
    <t>ESP</t>
  </si>
  <si>
    <t>CAN</t>
  </si>
  <si>
    <t>AUS</t>
  </si>
  <si>
    <t>POL</t>
  </si>
  <si>
    <t>ARG</t>
  </si>
  <si>
    <t>NLD</t>
  </si>
  <si>
    <t>COL</t>
  </si>
  <si>
    <t>BEL</t>
  </si>
  <si>
    <t>SWE</t>
  </si>
  <si>
    <t>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</si>
</sst>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.00000"/>
  </numFmts>
  <fonts count="13">
    <font>
      <sz val="10.0"/>
      <color rgb="FF000000"/>
      <name val="Arial"/>
    </font>
    <font>
      <sz val="9.0"/>
    </font>
    <font>
      <sz val="9.0"/>
      <color rgb="FF212121"/>
      <name val="Roboto"/>
    </font>
    <font>
      <sz val="9.0"/>
      <color rgb="FF000000"/>
    </font>
    <font>
      <sz val="9.0"/>
      <color rgb="FF000000"/>
      <name val="Arial"/>
    </font>
    <font/>
    <font>
      <b/>
      <sz val="9.0"/>
    </font>
    <font>
      <color rgb="FF000000"/>
      <name val="Roboto"/>
    </font>
    <font>
      <u/>
      <color rgb="FF0000FF"/>
    </font>
    <font>
      <u/>
      <sz val="9.0"/>
      <color rgb="FF0000FF"/>
    </font>
    <font>
      <color rgb="FF222222"/>
      <name val="Roboto"/>
    </font>
    <font>
      <sz val="9.0"/>
      <color rgb="FF000000"/>
      <name val="Roboto"/>
    </font>
    <font>
      <u/>
      <sz val="9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2" numFmtId="11" xfId="0" applyAlignment="1" applyFill="1" applyFont="1" applyNumberFormat="1">
      <alignment horizontal="left" readingOrder="0"/>
    </xf>
    <xf borderId="0" fillId="0" fontId="3" numFmtId="11" xfId="0" applyAlignment="1" applyFont="1" applyNumberFormat="1">
      <alignment horizontal="left" readingOrder="0"/>
    </xf>
    <xf borderId="0" fillId="0" fontId="1" numFmtId="11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1" numFmtId="11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4" xfId="0" applyFont="1" applyNumberFormat="1"/>
    <xf borderId="0" fillId="2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1" xfId="0" applyFont="1" applyNumberFormat="1"/>
    <xf borderId="0" fillId="2" fontId="11" numFmtId="0" xfId="0" applyAlignment="1" applyFont="1">
      <alignment readingOrder="0"/>
    </xf>
    <xf borderId="0" fillId="2" fontId="4" numFmtId="164" xfId="0" applyAlignment="1" applyFont="1" applyNumberFormat="1">
      <alignment horizontal="right"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left"/>
    </xf>
    <xf borderId="0" fillId="0" fontId="1" numFmtId="165" xfId="0" applyFont="1" applyNumberForma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voyager.jpl.nasa.gov/mission/status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6" t="s">
        <v>6</v>
      </c>
      <c r="B1" s="7"/>
      <c r="C1" s="7" t="s">
        <v>7</v>
      </c>
      <c r="D1" s="7" t="s">
        <v>8</v>
      </c>
      <c r="E1" s="8" t="s">
        <v>7</v>
      </c>
      <c r="F1" s="7" t="s">
        <v>9</v>
      </c>
      <c r="G1" s="7" t="s">
        <v>10</v>
      </c>
      <c r="H1" s="7" t="s">
        <v>11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7" t="s">
        <v>3</v>
      </c>
      <c r="B2" s="7" t="s">
        <v>12</v>
      </c>
      <c r="C2" s="7" t="s">
        <v>13</v>
      </c>
      <c r="D2" s="7" t="s">
        <v>14</v>
      </c>
      <c r="E2" s="7" t="s">
        <v>15</v>
      </c>
      <c r="F2" s="10" t="s">
        <v>16</v>
      </c>
      <c r="G2" s="7">
        <v>52.0</v>
      </c>
      <c r="H2" s="9">
        <f>205*0.453592</f>
        <v>92.98636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>
        <v>10.0</v>
      </c>
      <c r="B3" s="12">
        <v>20.0</v>
      </c>
      <c r="C3" s="13">
        <f t="shared" ref="C3:C16" si="1">2*3.14158/B3</f>
        <v>0.314158</v>
      </c>
      <c r="D3" s="13">
        <f t="shared" ref="D3:D16" si="2">C3*C3</f>
        <v>0.09869524896</v>
      </c>
      <c r="E3" s="13">
        <f t="shared" ref="E3:E16" si="3">-C3*C3*A3</f>
        <v>-0.9869524896</v>
      </c>
      <c r="F3" s="13">
        <f t="shared" ref="F3:F16" si="4">E3/9.8</f>
        <v>-0.1007094377</v>
      </c>
      <c r="G3" s="9">
        <f>$G$2*F3</f>
        <v>-5.236890761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7">
        <v>25.0</v>
      </c>
      <c r="B4" s="7">
        <v>60.0</v>
      </c>
      <c r="C4" s="9">
        <f t="shared" si="1"/>
        <v>0.1047193333</v>
      </c>
      <c r="D4" s="9">
        <f t="shared" si="2"/>
        <v>0.01096613877</v>
      </c>
      <c r="E4" s="9">
        <f t="shared" si="3"/>
        <v>-0.2741534693</v>
      </c>
      <c r="F4" s="9">
        <f t="shared" si="4"/>
        <v>-0.02797484381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7">
        <v>25.0</v>
      </c>
      <c r="B5" s="7">
        <v>30.0</v>
      </c>
      <c r="C5" s="9">
        <f t="shared" si="1"/>
        <v>0.2094386667</v>
      </c>
      <c r="D5" s="9">
        <f t="shared" si="2"/>
        <v>0.0438645551</v>
      </c>
      <c r="E5" s="9">
        <f t="shared" si="3"/>
        <v>-1.096613877</v>
      </c>
      <c r="F5" s="9">
        <f t="shared" si="4"/>
        <v>-0.1118993752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2">
        <v>25.0</v>
      </c>
      <c r="B6" s="12">
        <v>20.0</v>
      </c>
      <c r="C6" s="13">
        <f t="shared" si="1"/>
        <v>0.314158</v>
      </c>
      <c r="D6" s="13">
        <f t="shared" si="2"/>
        <v>0.09869524896</v>
      </c>
      <c r="E6" s="13">
        <f t="shared" si="3"/>
        <v>-2.467381224</v>
      </c>
      <c r="F6" s="13">
        <f t="shared" si="4"/>
        <v>-0.2517735943</v>
      </c>
      <c r="G6" s="9">
        <f>$G$2*F6</f>
        <v>-13.0922269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7">
        <v>25.0</v>
      </c>
      <c r="B7" s="7">
        <v>10.0</v>
      </c>
      <c r="C7" s="9">
        <f t="shared" si="1"/>
        <v>0.628316</v>
      </c>
      <c r="D7" s="9">
        <f t="shared" si="2"/>
        <v>0.3947809959</v>
      </c>
      <c r="E7" s="9">
        <f t="shared" si="3"/>
        <v>-9.869524896</v>
      </c>
      <c r="F7" s="9">
        <f t="shared" si="4"/>
        <v>-1.007094377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">
        <v>50.0</v>
      </c>
      <c r="B8" s="7">
        <v>60.0</v>
      </c>
      <c r="C8" s="9">
        <f t="shared" si="1"/>
        <v>0.1047193333</v>
      </c>
      <c r="D8" s="9">
        <f t="shared" si="2"/>
        <v>0.01096613877</v>
      </c>
      <c r="E8" s="9">
        <f t="shared" si="3"/>
        <v>-0.5483069387</v>
      </c>
      <c r="F8" s="9">
        <f t="shared" si="4"/>
        <v>-0.05594968762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7">
        <v>50.0</v>
      </c>
      <c r="B9" s="7">
        <v>45.0</v>
      </c>
      <c r="C9" s="9">
        <f t="shared" si="1"/>
        <v>0.1396257778</v>
      </c>
      <c r="D9" s="9">
        <f t="shared" si="2"/>
        <v>0.01949535782</v>
      </c>
      <c r="E9" s="9">
        <f t="shared" si="3"/>
        <v>-0.974767891</v>
      </c>
      <c r="F9" s="9">
        <f t="shared" si="4"/>
        <v>-0.09946611133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2">
        <v>50.0</v>
      </c>
      <c r="B10" s="12">
        <v>20.0</v>
      </c>
      <c r="C10" s="13">
        <f t="shared" si="1"/>
        <v>0.314158</v>
      </c>
      <c r="D10" s="13">
        <f t="shared" si="2"/>
        <v>0.09869524896</v>
      </c>
      <c r="E10" s="13">
        <f t="shared" si="3"/>
        <v>-4.934762448</v>
      </c>
      <c r="F10" s="13">
        <f t="shared" si="4"/>
        <v>-0.5035471886</v>
      </c>
      <c r="G10" s="9">
        <f>$G$2*F10</f>
        <v>-26.18445381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">
        <v>50.0</v>
      </c>
      <c r="B11" s="7">
        <v>15.0</v>
      </c>
      <c r="C11" s="9">
        <f t="shared" si="1"/>
        <v>0.4188773333</v>
      </c>
      <c r="D11" s="9">
        <f t="shared" si="2"/>
        <v>0.1754582204</v>
      </c>
      <c r="E11" s="9">
        <f t="shared" si="3"/>
        <v>-8.772911019</v>
      </c>
      <c r="F11" s="9">
        <f t="shared" si="4"/>
        <v>-0.8951950019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7">
        <v>75.0</v>
      </c>
      <c r="B12" s="7">
        <v>30.0</v>
      </c>
      <c r="C12" s="9">
        <f t="shared" si="1"/>
        <v>0.2094386667</v>
      </c>
      <c r="D12" s="9">
        <f t="shared" si="2"/>
        <v>0.0438645551</v>
      </c>
      <c r="E12" s="9">
        <f t="shared" si="3"/>
        <v>-3.289841632</v>
      </c>
      <c r="F12" s="9">
        <f t="shared" si="4"/>
        <v>-0.3356981257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2">
        <v>75.0</v>
      </c>
      <c r="B13" s="12">
        <v>20.0</v>
      </c>
      <c r="C13" s="13">
        <f t="shared" si="1"/>
        <v>0.314158</v>
      </c>
      <c r="D13" s="13">
        <f t="shared" si="2"/>
        <v>0.09869524896</v>
      </c>
      <c r="E13" s="13">
        <f t="shared" si="3"/>
        <v>-7.402143672</v>
      </c>
      <c r="F13" s="13">
        <f t="shared" si="4"/>
        <v>-0.7553207829</v>
      </c>
      <c r="G13" s="9">
        <f>$G$2*F13</f>
        <v>-39.27668071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7">
        <v>75.0</v>
      </c>
      <c r="B14" s="7">
        <v>15.0</v>
      </c>
      <c r="C14" s="9">
        <f t="shared" si="1"/>
        <v>0.4188773333</v>
      </c>
      <c r="D14" s="9">
        <f t="shared" si="2"/>
        <v>0.1754582204</v>
      </c>
      <c r="E14" s="9">
        <f t="shared" si="3"/>
        <v>-13.15936653</v>
      </c>
      <c r="F14" s="9">
        <f t="shared" si="4"/>
        <v>-1.342792503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>
        <v>100.0</v>
      </c>
      <c r="B15" s="12">
        <v>20.0</v>
      </c>
      <c r="C15" s="13">
        <f t="shared" si="1"/>
        <v>0.314158</v>
      </c>
      <c r="D15" s="13">
        <f t="shared" si="2"/>
        <v>0.09869524896</v>
      </c>
      <c r="E15" s="13">
        <f t="shared" si="3"/>
        <v>-9.869524896</v>
      </c>
      <c r="F15" s="13">
        <f t="shared" si="4"/>
        <v>-1.007094377</v>
      </c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7">
        <v>900.0</v>
      </c>
      <c r="B16" s="7">
        <v>60.0</v>
      </c>
      <c r="C16" s="9">
        <f t="shared" si="1"/>
        <v>0.1047193333</v>
      </c>
      <c r="D16" s="9">
        <f t="shared" si="2"/>
        <v>0.01096613877</v>
      </c>
      <c r="E16" s="9">
        <f t="shared" si="3"/>
        <v>-9.869524896</v>
      </c>
      <c r="F16" s="9">
        <f t="shared" si="4"/>
        <v>-1.007094377</v>
      </c>
      <c r="G16" s="7" t="s">
        <v>43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3">
        <v>6.67408E-11</v>
      </c>
      <c r="B3" s="4">
        <v>5.9723E24</v>
      </c>
      <c r="C3" s="5">
        <v>6371000.0</v>
      </c>
      <c r="D3" s="11">
        <f t="shared" ref="D3:D6" si="1">(A3*B3)/C3^2</f>
        <v>9.820143022</v>
      </c>
      <c r="E3" s="11">
        <f t="shared" ref="E3:E6" si="2">D3*0.224809</f>
        <v>2.207656533</v>
      </c>
      <c r="F3" s="1" t="s">
        <v>26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>
        <v>6.67408E-11</v>
      </c>
      <c r="B4" s="4">
        <v>5.9723E24</v>
      </c>
      <c r="C4" s="5">
        <f>6371000+330000</f>
        <v>6701000</v>
      </c>
      <c r="D4" s="11">
        <f t="shared" si="1"/>
        <v>8.87674588</v>
      </c>
      <c r="E4" s="11">
        <f t="shared" si="2"/>
        <v>1.995572365</v>
      </c>
      <c r="F4" s="1" t="s">
        <v>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3">
        <v>6.67408E-11</v>
      </c>
      <c r="B5" s="4">
        <v>5.9723E24</v>
      </c>
      <c r="C5" s="5">
        <f>6371000+3300000</f>
        <v>9671000</v>
      </c>
      <c r="D5" s="11">
        <f t="shared" si="1"/>
        <v>4.26177244</v>
      </c>
      <c r="E5" s="11">
        <f t="shared" si="2"/>
        <v>0.9580848004</v>
      </c>
      <c r="F5" s="1" t="s">
        <v>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3">
        <v>6.67408E-11</v>
      </c>
      <c r="B6" s="4">
        <v>5.9723E24</v>
      </c>
      <c r="C6" s="5">
        <f>6371000+33000000</f>
        <v>39371000</v>
      </c>
      <c r="D6" s="11">
        <f t="shared" si="1"/>
        <v>0.2571462123</v>
      </c>
      <c r="E6" s="11">
        <f t="shared" si="2"/>
        <v>0.05780878284</v>
      </c>
      <c r="F6" s="1" t="s">
        <v>30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  <c r="B1" s="1"/>
      <c r="C1" s="1"/>
      <c r="D1" s="10"/>
      <c r="E1" s="10"/>
      <c r="F1" s="10"/>
      <c r="I1" s="10"/>
      <c r="J1" s="10"/>
      <c r="K1" s="10"/>
    </row>
    <row r="2">
      <c r="A2" s="1"/>
      <c r="B2" s="1"/>
      <c r="C2" s="1"/>
      <c r="D2" s="10" t="s">
        <v>18</v>
      </c>
      <c r="E2" s="10"/>
      <c r="F2" s="10"/>
      <c r="I2" s="10" t="s">
        <v>19</v>
      </c>
      <c r="J2" s="10"/>
      <c r="K2" s="10"/>
    </row>
    <row r="3">
      <c r="A3" s="1" t="s">
        <v>1</v>
      </c>
      <c r="B3" s="1" t="s">
        <v>2</v>
      </c>
      <c r="C3" s="1" t="s">
        <v>3</v>
      </c>
      <c r="D3" s="10" t="s">
        <v>14</v>
      </c>
      <c r="E3" s="10" t="s">
        <v>20</v>
      </c>
      <c r="F3" s="10" t="s">
        <v>21</v>
      </c>
      <c r="G3" s="10" t="s">
        <v>22</v>
      </c>
      <c r="I3" s="10" t="s">
        <v>23</v>
      </c>
      <c r="J3" s="10" t="s">
        <v>24</v>
      </c>
      <c r="K3" s="10" t="s">
        <v>25</v>
      </c>
    </row>
    <row r="4">
      <c r="A4" s="3">
        <v>6.67408E-11</v>
      </c>
      <c r="B4" s="4">
        <v>5.9723E24</v>
      </c>
      <c r="C4" s="5">
        <v>6371000.0</v>
      </c>
      <c r="D4" s="14">
        <f t="shared" ref="D4:D7" si="2">sqrt((A4*B4)/C4)</f>
        <v>7909.749123</v>
      </c>
      <c r="E4" s="14">
        <f t="shared" ref="E4:E7" si="3">D4/1000*60*60</f>
        <v>28475.09684</v>
      </c>
      <c r="F4" s="14">
        <f t="shared" ref="F4:F7" si="4">E4*0.621371</f>
        <v>17693.5994</v>
      </c>
      <c r="G4" s="7">
        <f t="shared" ref="G4:G7" si="5">F4*0.00044704</f>
        <v>7.909746676</v>
      </c>
      <c r="H4" s="7" t="s">
        <v>29</v>
      </c>
      <c r="I4" s="14">
        <f t="shared" ref="I4:I7" si="6">2*PI()*sqrt(C4^3/A4/B4)</f>
        <v>5060.865138</v>
      </c>
      <c r="J4">
        <f t="shared" ref="J4:K4" si="1">I4/60</f>
        <v>84.34775231</v>
      </c>
      <c r="K4">
        <f t="shared" si="1"/>
        <v>1.405795872</v>
      </c>
    </row>
    <row r="5">
      <c r="A5" s="3">
        <v>6.67408E-11</v>
      </c>
      <c r="B5" s="4">
        <v>5.9723E24</v>
      </c>
      <c r="C5" s="5">
        <f>6371000+330000</f>
        <v>6701000</v>
      </c>
      <c r="D5" s="14">
        <f t="shared" si="2"/>
        <v>7712.527092</v>
      </c>
      <c r="E5" s="14">
        <f t="shared" si="3"/>
        <v>27765.09753</v>
      </c>
      <c r="F5" s="14">
        <f t="shared" si="4"/>
        <v>17252.42642</v>
      </c>
      <c r="G5" s="7">
        <f t="shared" si="5"/>
        <v>7.712524706</v>
      </c>
      <c r="H5" s="7" t="s">
        <v>31</v>
      </c>
      <c r="I5" s="14">
        <f t="shared" si="6"/>
        <v>5459.121795</v>
      </c>
      <c r="J5">
        <f t="shared" ref="J5:K5" si="7">I5/60</f>
        <v>90.98536325</v>
      </c>
      <c r="K5">
        <f t="shared" si="7"/>
        <v>1.516422721</v>
      </c>
    </row>
    <row r="6">
      <c r="A6" s="3">
        <v>6.67408E-11</v>
      </c>
      <c r="B6" s="4">
        <v>5.9723E24</v>
      </c>
      <c r="C6" s="5">
        <f>6371000+3300000</f>
        <v>9671000</v>
      </c>
      <c r="D6" s="14">
        <f t="shared" si="2"/>
        <v>6419.937793</v>
      </c>
      <c r="E6" s="14">
        <f t="shared" si="3"/>
        <v>23111.77605</v>
      </c>
      <c r="F6" s="14">
        <f t="shared" si="4"/>
        <v>14360.9874</v>
      </c>
      <c r="G6" s="7">
        <f t="shared" si="5"/>
        <v>6.419935807</v>
      </c>
      <c r="H6" s="8" t="s">
        <v>28</v>
      </c>
      <c r="I6" s="14">
        <f t="shared" si="6"/>
        <v>9464.995934</v>
      </c>
      <c r="J6">
        <f t="shared" ref="J6:K6" si="8">I6/60</f>
        <v>157.7499322</v>
      </c>
      <c r="K6">
        <f t="shared" si="8"/>
        <v>2.629165537</v>
      </c>
    </row>
    <row r="7">
      <c r="A7" s="3">
        <v>6.67408E-11</v>
      </c>
      <c r="B7" s="4">
        <v>5.9723E24</v>
      </c>
      <c r="C7" s="5">
        <f>6371000+33000000</f>
        <v>39371000</v>
      </c>
      <c r="D7" s="14">
        <f t="shared" si="2"/>
        <v>3181.839645</v>
      </c>
      <c r="E7" s="14">
        <f t="shared" si="3"/>
        <v>11454.62272</v>
      </c>
      <c r="F7" s="14">
        <f t="shared" si="4"/>
        <v>7117.570374</v>
      </c>
      <c r="G7" s="7">
        <f t="shared" si="5"/>
        <v>3.18183866</v>
      </c>
      <c r="H7" s="7" t="s">
        <v>32</v>
      </c>
      <c r="I7" s="14">
        <f t="shared" si="6"/>
        <v>77745.99488</v>
      </c>
      <c r="J7">
        <f t="shared" ref="J7:K7" si="9">I7/60</f>
        <v>1295.766581</v>
      </c>
      <c r="K7">
        <f t="shared" si="9"/>
        <v>21.59610969</v>
      </c>
    </row>
    <row r="9">
      <c r="A9" s="10" t="s">
        <v>33</v>
      </c>
      <c r="D9" s="10" t="s">
        <v>34</v>
      </c>
    </row>
    <row r="10">
      <c r="A10" s="10" t="s">
        <v>35</v>
      </c>
      <c r="B10" s="15">
        <v>6742000.0</v>
      </c>
      <c r="C10" s="10" t="s">
        <v>36</v>
      </c>
      <c r="D10" s="10" t="s">
        <v>37</v>
      </c>
      <c r="E10" s="3">
        <v>6.67408E-11</v>
      </c>
      <c r="F10" s="10" t="s">
        <v>38</v>
      </c>
      <c r="G10" s="4"/>
      <c r="H10" s="4">
        <v>5.9723E24</v>
      </c>
    </row>
    <row r="12">
      <c r="A12" s="10" t="s">
        <v>39</v>
      </c>
      <c r="C12" s="10" t="s">
        <v>40</v>
      </c>
      <c r="D12" s="10">
        <f>2*3.14159*sqrt((B10^3)/(E10*H10))</f>
        <v>5509.296073</v>
      </c>
      <c r="E12" s="10" t="s">
        <v>41</v>
      </c>
    </row>
    <row r="13">
      <c r="D13">
        <f>D12/60</f>
        <v>91.82160121</v>
      </c>
      <c r="E13" s="10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4" width="10.14"/>
  </cols>
  <sheetData>
    <row r="1">
      <c r="A1" s="7" t="s">
        <v>44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7" t="s">
        <v>45</v>
      </c>
      <c r="B2" s="9"/>
      <c r="C2" s="9"/>
      <c r="D2" s="9"/>
      <c r="E2" s="9"/>
      <c r="F2" s="16">
        <v>6378.0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7" t="s">
        <v>46</v>
      </c>
      <c r="B3" s="7"/>
      <c r="C3" s="7"/>
      <c r="D3" s="7"/>
      <c r="E3" s="7"/>
      <c r="F3" s="7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7" t="s">
        <v>47</v>
      </c>
      <c r="B4" s="7" t="s">
        <v>48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6">
        <v>0.0</v>
      </c>
      <c r="B5" s="16">
        <f t="shared" ref="B5:B11" si="1">A5*3.14159/180</f>
        <v>0</v>
      </c>
      <c r="C5" s="16">
        <f t="shared" ref="C5:C11" si="2">cos(B5)</f>
        <v>1</v>
      </c>
      <c r="D5" s="16">
        <f t="shared" ref="D5:D11" si="3">$F$2*cos(B5)</f>
        <v>6378</v>
      </c>
      <c r="E5" s="17">
        <f t="shared" ref="E5:E11" si="4">2*3.14159*D5</f>
        <v>40074.12204</v>
      </c>
      <c r="F5" s="17">
        <f t="shared" ref="F5:F11" si="5">E5/24</f>
        <v>1669.755085</v>
      </c>
      <c r="G5" s="17">
        <f t="shared" ref="G5:G11" si="6">F5*0.621371</f>
        <v>1037.537387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7">
        <v>15.0</v>
      </c>
      <c r="B6" s="16">
        <f t="shared" si="1"/>
        <v>0.2617991667</v>
      </c>
      <c r="C6" s="16">
        <f t="shared" si="2"/>
        <v>0.9659258835</v>
      </c>
      <c r="D6" s="16">
        <f t="shared" si="3"/>
        <v>6160.675285</v>
      </c>
      <c r="E6" s="17">
        <f t="shared" si="4"/>
        <v>38708.63174</v>
      </c>
      <c r="F6" s="17">
        <f t="shared" si="5"/>
        <v>1612.859656</v>
      </c>
      <c r="G6" s="17">
        <f t="shared" si="6"/>
        <v>1002.184217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7">
        <v>30.0</v>
      </c>
      <c r="B7" s="16">
        <f t="shared" si="1"/>
        <v>0.5235983333</v>
      </c>
      <c r="C7" s="16">
        <f t="shared" si="2"/>
        <v>0.8660256249</v>
      </c>
      <c r="D7" s="16">
        <f t="shared" si="3"/>
        <v>5523.511436</v>
      </c>
      <c r="E7" s="17">
        <f t="shared" si="4"/>
        <v>34705.21658</v>
      </c>
      <c r="F7" s="17">
        <f t="shared" si="5"/>
        <v>1446.050691</v>
      </c>
      <c r="G7" s="17">
        <f t="shared" si="6"/>
        <v>898.5339639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7">
        <v>45.0</v>
      </c>
      <c r="B8" s="16">
        <f t="shared" si="1"/>
        <v>0.7853975</v>
      </c>
      <c r="C8" s="16">
        <f t="shared" si="2"/>
        <v>0.7071072503</v>
      </c>
      <c r="D8" s="16">
        <f t="shared" si="3"/>
        <v>4509.930042</v>
      </c>
      <c r="E8" s="17">
        <f t="shared" si="4"/>
        <v>28336.70224</v>
      </c>
      <c r="F8" s="17">
        <f t="shared" si="5"/>
        <v>1180.695927</v>
      </c>
      <c r="G8" s="17">
        <f t="shared" si="6"/>
        <v>733.6502087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7">
        <v>60.0</v>
      </c>
      <c r="B9" s="16">
        <f t="shared" si="1"/>
        <v>1.047196667</v>
      </c>
      <c r="C9" s="16">
        <f t="shared" si="2"/>
        <v>0.500000766</v>
      </c>
      <c r="D9" s="16">
        <f t="shared" si="3"/>
        <v>3189.004886</v>
      </c>
      <c r="E9" s="17">
        <f t="shared" si="4"/>
        <v>20037.09172</v>
      </c>
      <c r="F9" s="17">
        <f t="shared" si="5"/>
        <v>834.8788216</v>
      </c>
      <c r="G9" s="17">
        <f t="shared" si="6"/>
        <v>518.7694882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7">
        <v>75.0</v>
      </c>
      <c r="B10" s="16">
        <f t="shared" si="1"/>
        <v>1.308995833</v>
      </c>
      <c r="C10" s="16">
        <f t="shared" si="2"/>
        <v>0.2588201131</v>
      </c>
      <c r="D10" s="16">
        <f t="shared" si="3"/>
        <v>1650.754681</v>
      </c>
      <c r="E10" s="17">
        <f t="shared" si="4"/>
        <v>10371.9888</v>
      </c>
      <c r="F10" s="17">
        <f t="shared" si="5"/>
        <v>432.1661999</v>
      </c>
      <c r="G10" s="17">
        <f t="shared" si="6"/>
        <v>268.5355438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7">
        <v>90.0</v>
      </c>
      <c r="B11" s="16">
        <f t="shared" si="1"/>
        <v>1.570795</v>
      </c>
      <c r="C11" s="16">
        <f t="shared" si="2"/>
        <v>0.000001326794897</v>
      </c>
      <c r="D11" s="16">
        <f t="shared" si="3"/>
        <v>0.008462297851</v>
      </c>
      <c r="E11" s="17">
        <f t="shared" si="4"/>
        <v>0.05317014061</v>
      </c>
      <c r="F11" s="17">
        <f t="shared" si="5"/>
        <v>0.002215422525</v>
      </c>
      <c r="G11" s="17">
        <f t="shared" si="6"/>
        <v>0.00137659931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7" t="s">
        <v>54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7" t="s">
        <v>55</v>
      </c>
      <c r="B14" s="18" t="str">
        <f>HYPERLINK("https://www.worldatlas.com/articles/what-are-the-major-natural-resources-of-gabon.html","manganese, diamonds, gold, and uranium")</f>
        <v>manganese, diamonds, gold, and uranium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7" t="s">
        <v>56</v>
      </c>
      <c r="B15" s="18" t="str">
        <f>HYPERLINK("https://www.bbc.com/news/magazine-24396390","copper, gold, diamonds, cobalt, uranium")</f>
        <v>copper, gold, diamonds, cobalt, uranium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7" t="s">
        <v>57</v>
      </c>
      <c r="B16" s="18" t="str">
        <f>HYPERLINK("https://www.forbes.com/places/uganda/","mall deposits of copper, gold, and other minerals")</f>
        <v>mall deposits of copper, gold, and other minerals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7" t="s">
        <v>58</v>
      </c>
      <c r="B17" s="18" t="str">
        <f>HYPERLINK("https://en.wikipedia.org/wiki/Geography_of_Kenya","limestone, soda ash, salt, gemstones, fluorspar, zinc, diatomite, oil, gas, gypsum, wildlife and hydropower.")</f>
        <v>limestone, soda ash, salt, gemstones, fluorspar, zinc, diatomite, oil, gas, gypsum, wildlife and hydropower.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7" t="s">
        <v>59</v>
      </c>
      <c r="B18" s="19" t="str">
        <f>HYPERLINK("https://www.worldatlas.com/articles/what-are-the-major-natural-resources-of-indonesia.html","coal, nickel, bauxite, gold, tin, and copper")</f>
        <v>coal, nickel, bauxite, gold, tin, and copper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7" t="s">
        <v>60</v>
      </c>
      <c r="B19" s="19" t="str">
        <f>HYPERLINK("https://en.wikipedia.org/wiki/Geography_of_Ecuador#Natural_resources","petroleum")</f>
        <v>petroleum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7" t="s">
        <v>61</v>
      </c>
      <c r="B20" s="19" t="str">
        <f>HYPERLINK("https://en.wikipedia.org/wiki/Geography_of_Colombia#Natural_resources","gold, silver, iron, salt, platinum, petroleum, nickel, copper, hydropower and uranium extraction")</f>
        <v>gold, silver, iron, salt, platinum, petroleum, nickel, copper, hydropower and uranium extraction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7" t="s">
        <v>62</v>
      </c>
      <c r="B21" s="19" t="str">
        <f>HYPERLINK("https://en.wikipedia.org/wiki/Venezuela","petroleum and natural gas, iron ore, gold, and other minerals.")</f>
        <v>petroleum and natural gas, iron ore, gold, and other minerals.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7" t="s">
        <v>63</v>
      </c>
      <c r="B22" s="19" t="str">
        <f>HYPERLINK("https://en.wikipedia.org/wiki/Geography_of_Brazil#Geology,_geomorphology_and_drainage","bauxite, gold, iron ore, manganese, nickel, phosphates, platinum, tin, clay, rare earth elements, uranium, petroleum, hydropower and timber.")</f>
        <v>bauxite, gold, iron ore, manganese, nickel, phosphates, platinum, tin, clay, rare earth elements, uranium, petroleum, hydropower and timber.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20" t="s">
        <v>64</v>
      </c>
      <c r="B23" s="19" t="str">
        <f>HYPERLINK("https://en.wikipedia.org/wiki/Mineral_industry_of_S%C3%A3o_Tom%C3%A9_and_Pr%C3%ADncipe","clay and volcanic rock")</f>
        <v>clay and volcanic rock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7" t="s">
        <v>65</v>
      </c>
      <c r="B24" s="19" t="str">
        <f>HYPERLINK("https://en.wikipedia.org/wiki/Economy_of_Somalia#Natural_Resources"," uranium, iron ore, tin, gypsum, bauxite, copper")</f>
        <v> uranium, iron ore, tin, gypsum, bauxite, copper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7" t="s">
        <v>66</v>
      </c>
      <c r="B25" s="19" t="str">
        <f>HYPERLINK("https://www.encyclopedia.com/places/asia/indian-political-geography/maldives","No known mineral abundance")</f>
        <v>No known mineral abundance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57"/>
  </cols>
  <sheetData>
    <row r="1">
      <c r="A1" s="7" t="s">
        <v>67</v>
      </c>
      <c r="B1" s="7"/>
      <c r="C1" s="7" t="s">
        <v>68</v>
      </c>
      <c r="D1" s="7" t="s">
        <v>69</v>
      </c>
      <c r="E1" s="7" t="s">
        <v>70</v>
      </c>
      <c r="F1" s="7" t="s">
        <v>71</v>
      </c>
      <c r="G1" s="7" t="s">
        <v>72</v>
      </c>
      <c r="H1" s="7" t="s">
        <v>73</v>
      </c>
      <c r="I1" s="7" t="s">
        <v>74</v>
      </c>
      <c r="J1" s="7" t="s">
        <v>75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7"/>
      <c r="B2" s="7"/>
      <c r="C2" s="16">
        <v>337.0</v>
      </c>
      <c r="D2" s="16">
        <v>80.0</v>
      </c>
      <c r="E2" s="16">
        <v>76.0</v>
      </c>
      <c r="F2" s="16">
        <v>25.0</v>
      </c>
      <c r="G2" s="16">
        <f>C2*D2</f>
        <v>26960</v>
      </c>
      <c r="H2" s="16">
        <f>G2/10000</f>
        <v>2.696</v>
      </c>
      <c r="I2" s="16">
        <f>H2*2.47</f>
        <v>6.65912</v>
      </c>
      <c r="J2" s="17">
        <f>C2*D2*E2</f>
        <v>2048960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7"/>
      <c r="B3" s="7"/>
      <c r="C3" s="7"/>
      <c r="D3" s="7"/>
      <c r="E3" s="7"/>
      <c r="F3" s="7"/>
      <c r="G3" s="7"/>
      <c r="H3" s="7"/>
      <c r="I3" s="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7" t="s">
        <v>76</v>
      </c>
      <c r="C4" s="7" t="s">
        <v>77</v>
      </c>
      <c r="D4" s="7" t="s">
        <v>78</v>
      </c>
      <c r="E4" s="7" t="s">
        <v>79</v>
      </c>
      <c r="F4" s="10" t="s">
        <v>80</v>
      </c>
      <c r="G4" s="7" t="s">
        <v>81</v>
      </c>
      <c r="H4" s="7" t="s">
        <v>73</v>
      </c>
      <c r="I4" s="7" t="s">
        <v>74</v>
      </c>
      <c r="J4" s="7" t="s">
        <v>75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7" t="s">
        <v>82</v>
      </c>
      <c r="B5" s="7"/>
      <c r="C5" s="16">
        <v>1000.0</v>
      </c>
      <c r="D5" s="16">
        <v>1000.0</v>
      </c>
      <c r="E5" s="16">
        <v>100.0</v>
      </c>
      <c r="F5" s="16">
        <v>35.0</v>
      </c>
      <c r="G5" s="17">
        <f>C5*D5</f>
        <v>1000000</v>
      </c>
      <c r="H5" s="17">
        <f>G5/10000</f>
        <v>100</v>
      </c>
      <c r="I5" s="17">
        <f>H5*2.471</f>
        <v>247.1</v>
      </c>
      <c r="J5" s="17">
        <f>C5*D5*E5</f>
        <v>100000000</v>
      </c>
      <c r="K5" s="9">
        <f>J5/J7</f>
        <v>63.61323155</v>
      </c>
      <c r="L5" s="7" t="s">
        <v>83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7" t="s">
        <v>83</v>
      </c>
      <c r="B7" s="9"/>
      <c r="C7" s="7">
        <v>828.0</v>
      </c>
      <c r="D7" s="9"/>
      <c r="E7" s="9"/>
      <c r="F7" s="9"/>
      <c r="G7" s="9"/>
      <c r="H7" s="9"/>
      <c r="I7" s="9"/>
      <c r="J7" s="21">
        <v>1572000.0</v>
      </c>
      <c r="K7" s="7" t="s">
        <v>90</v>
      </c>
      <c r="L7" s="21">
        <v>10000.0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7" t="s">
        <v>91</v>
      </c>
      <c r="L8" s="9">
        <f>J7/L7</f>
        <v>157.2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7" t="s">
        <v>92</v>
      </c>
      <c r="L9" s="7">
        <f>3*7.2*7.2</f>
        <v>155.52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9"/>
      <c r="B11" s="9"/>
      <c r="C11" s="9"/>
      <c r="D11" s="9"/>
      <c r="E11" s="9"/>
      <c r="F11" s="9"/>
      <c r="G11" s="9"/>
      <c r="H11" s="9"/>
      <c r="I11" s="7" t="s">
        <v>96</v>
      </c>
      <c r="J11" s="9"/>
      <c r="K11" s="7">
        <f>3*5*5</f>
        <v>75</v>
      </c>
      <c r="L11" s="7" t="s">
        <v>98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86"/>
    <col customWidth="1" min="5" max="5" width="18.29"/>
  </cols>
  <sheetData>
    <row r="1">
      <c r="A1" s="7" t="s">
        <v>84</v>
      </c>
      <c r="B1" s="7" t="s">
        <v>85</v>
      </c>
      <c r="C1" s="7" t="s">
        <v>86</v>
      </c>
      <c r="D1" s="7" t="s">
        <v>87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>
      <c r="A2" s="7" t="s">
        <v>88</v>
      </c>
      <c r="B2" s="7" t="s">
        <v>89</v>
      </c>
      <c r="C2" s="22">
        <v>210954.0</v>
      </c>
      <c r="D2" s="23">
        <f t="shared" ref="D2:D52" si="1">C2*1000000</f>
        <v>210954000000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>
      <c r="A3" s="7" t="s">
        <v>93</v>
      </c>
      <c r="B3" s="7" t="s">
        <v>89</v>
      </c>
      <c r="C3" s="22">
        <v>967337.0</v>
      </c>
      <c r="D3" s="23">
        <f t="shared" si="1"/>
        <v>967337000000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>
      <c r="A4" s="7" t="s">
        <v>94</v>
      </c>
      <c r="B4" s="7" t="s">
        <v>89</v>
      </c>
      <c r="C4" s="22">
        <v>554269.0</v>
      </c>
      <c r="D4" s="23">
        <f t="shared" si="1"/>
        <v>554269000000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>
      <c r="A5" s="7" t="s">
        <v>95</v>
      </c>
      <c r="B5" s="7" t="s">
        <v>89</v>
      </c>
      <c r="C5" s="22">
        <v>202507.0</v>
      </c>
      <c r="D5" s="23">
        <f t="shared" si="1"/>
        <v>202507000000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s="7" t="s">
        <v>97</v>
      </c>
      <c r="B6" s="7" t="s">
        <v>89</v>
      </c>
      <c r="C6" s="22">
        <v>246264.0</v>
      </c>
      <c r="D6" s="23">
        <f t="shared" si="1"/>
        <v>246264000000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>
      <c r="A7" s="7" t="s">
        <v>99</v>
      </c>
      <c r="B7" s="7" t="s">
        <v>89</v>
      </c>
      <c r="C7" s="22">
        <v>111707.0</v>
      </c>
      <c r="D7" s="23">
        <f t="shared" si="1"/>
        <v>111707000000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>
      <c r="A8" s="7" t="s">
        <v>100</v>
      </c>
      <c r="B8" s="7" t="s">
        <v>89</v>
      </c>
      <c r="C8" s="22">
        <v>538291.0</v>
      </c>
      <c r="D8" s="23">
        <f t="shared" si="1"/>
        <v>538291000000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>
      <c r="A9" s="7" t="s">
        <v>101</v>
      </c>
      <c r="B9" s="7" t="s">
        <v>89</v>
      </c>
      <c r="C9" s="22">
        <v>219093.0</v>
      </c>
      <c r="D9" s="23">
        <f t="shared" si="1"/>
        <v>219093000000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>
      <c r="A10" s="7" t="s">
        <v>102</v>
      </c>
      <c r="B10" s="7" t="s">
        <v>89</v>
      </c>
      <c r="C10" s="22">
        <v>345218.0</v>
      </c>
      <c r="D10" s="23">
        <f t="shared" si="1"/>
        <v>345218000000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>
      <c r="A11" s="7" t="s">
        <v>103</v>
      </c>
      <c r="B11" s="8" t="s">
        <v>89</v>
      </c>
      <c r="C11" s="22">
        <v>508662.0</v>
      </c>
      <c r="D11" s="23">
        <f t="shared" si="1"/>
        <v>508662000000</v>
      </c>
      <c r="E11" s="24">
        <f>sum(D2:D11)</f>
        <v>3904302000000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>
      <c r="A12" s="7" t="s">
        <v>104</v>
      </c>
      <c r="B12" s="8" t="s">
        <v>105</v>
      </c>
      <c r="C12" s="22">
        <v>76794.0</v>
      </c>
      <c r="D12" s="23">
        <f t="shared" si="1"/>
        <v>76794000000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>
      <c r="A13" s="7" t="s">
        <v>106</v>
      </c>
      <c r="B13" s="8" t="s">
        <v>105</v>
      </c>
      <c r="C13" s="22">
        <v>820362.0</v>
      </c>
      <c r="D13" s="23">
        <f t="shared" si="1"/>
        <v>820362000000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>
      <c r="A14" s="7" t="s">
        <v>107</v>
      </c>
      <c r="B14" s="25" t="s">
        <v>105</v>
      </c>
      <c r="C14" s="22">
        <v>359122.0</v>
      </c>
      <c r="D14" s="23">
        <f t="shared" si="1"/>
        <v>359122000000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>
      <c r="A15" s="7" t="s">
        <v>108</v>
      </c>
      <c r="B15" s="25" t="s">
        <v>105</v>
      </c>
      <c r="C15" s="22">
        <v>504967.0</v>
      </c>
      <c r="D15" s="23">
        <f t="shared" si="1"/>
        <v>504967000000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>
      <c r="A16" s="7" t="s">
        <v>109</v>
      </c>
      <c r="B16" s="25" t="s">
        <v>105</v>
      </c>
      <c r="C16" s="22">
        <v>649127.0</v>
      </c>
      <c r="D16" s="23">
        <f t="shared" si="1"/>
        <v>649127000000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>
      <c r="A17" s="7" t="s">
        <v>110</v>
      </c>
      <c r="B17" s="25" t="s">
        <v>105</v>
      </c>
      <c r="C17" s="22">
        <v>324061.0</v>
      </c>
      <c r="D17" s="23">
        <f t="shared" si="1"/>
        <v>324061000000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>
      <c r="A18" s="7" t="s">
        <v>111</v>
      </c>
      <c r="B18" s="8" t="s">
        <v>105</v>
      </c>
      <c r="C18" s="22">
        <v>351113.0</v>
      </c>
      <c r="D18" s="23">
        <f t="shared" si="1"/>
        <v>351113000000</v>
      </c>
      <c r="E18" s="24">
        <f>sum(D12:D18)</f>
        <v>3085546000000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>
      <c r="A19" s="7" t="s">
        <v>112</v>
      </c>
      <c r="B19" s="7" t="s">
        <v>113</v>
      </c>
      <c r="C19" s="22">
        <v>73541.0</v>
      </c>
      <c r="D19" s="23">
        <f t="shared" si="1"/>
        <v>73541000000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>
      <c r="A20" s="7" t="s">
        <v>114</v>
      </c>
      <c r="B20" s="8" t="s">
        <v>113</v>
      </c>
      <c r="C20" s="22">
        <v>61404.0</v>
      </c>
      <c r="D20" s="23">
        <f t="shared" si="1"/>
        <v>61404000000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>
      <c r="A21" s="7" t="s">
        <v>115</v>
      </c>
      <c r="B21" s="8" t="s">
        <v>113</v>
      </c>
      <c r="C21" s="22">
        <v>393632.0</v>
      </c>
      <c r="D21" s="23">
        <f t="shared" si="1"/>
        <v>393632000000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>
      <c r="A22" s="7" t="s">
        <v>116</v>
      </c>
      <c r="B22" s="8" t="s">
        <v>113</v>
      </c>
      <c r="C22" s="22">
        <v>527455.0</v>
      </c>
      <c r="D22" s="23">
        <f t="shared" si="1"/>
        <v>527455000000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>
      <c r="A23" s="7" t="s">
        <v>117</v>
      </c>
      <c r="B23" s="8" t="s">
        <v>113</v>
      </c>
      <c r="C23" s="22">
        <v>80516.0</v>
      </c>
      <c r="D23" s="23">
        <f t="shared" si="1"/>
        <v>80516000000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>
      <c r="A24" s="7" t="s">
        <v>118</v>
      </c>
      <c r="B24" s="8" t="s">
        <v>113</v>
      </c>
      <c r="C24" s="22">
        <v>591743.0</v>
      </c>
      <c r="D24" s="23">
        <f t="shared" si="1"/>
        <v>591743000000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>
      <c r="A25" s="7" t="s">
        <v>119</v>
      </c>
      <c r="B25" s="8" t="s">
        <v>113</v>
      </c>
      <c r="C25" s="22">
        <v>1547116.0</v>
      </c>
      <c r="D25" s="23">
        <f t="shared" si="1"/>
        <v>1547116000000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>
      <c r="A26" s="7" t="s">
        <v>120</v>
      </c>
      <c r="B26" s="8" t="s">
        <v>113</v>
      </c>
      <c r="C26" s="22">
        <v>752071.0</v>
      </c>
      <c r="D26" s="23">
        <f t="shared" si="1"/>
        <v>752071000000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>
      <c r="A27" s="7" t="s">
        <v>121</v>
      </c>
      <c r="B27" s="8" t="s">
        <v>113</v>
      </c>
      <c r="C27" s="22">
        <v>59458.0</v>
      </c>
      <c r="D27" s="23">
        <f t="shared" si="1"/>
        <v>59458000000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>
      <c r="A28" s="7" t="s">
        <v>122</v>
      </c>
      <c r="B28" s="8" t="s">
        <v>113</v>
      </c>
      <c r="C28" s="22">
        <v>32197.0</v>
      </c>
      <c r="D28" s="23">
        <f t="shared" si="1"/>
        <v>32197000000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>
      <c r="A29" s="7" t="s">
        <v>123</v>
      </c>
      <c r="B29" s="8" t="s">
        <v>113</v>
      </c>
      <c r="C29" s="22">
        <v>260827.0</v>
      </c>
      <c r="D29" s="23">
        <f t="shared" si="1"/>
        <v>260827000000</v>
      </c>
      <c r="E29" s="24">
        <f>sum(D19:D29)</f>
        <v>4379960000000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>
      <c r="A30" s="7" t="s">
        <v>124</v>
      </c>
      <c r="B30" s="8" t="s">
        <v>125</v>
      </c>
      <c r="C30" s="22">
        <v>190191.0</v>
      </c>
      <c r="D30" s="23">
        <f t="shared" si="1"/>
        <v>190191000000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>
      <c r="A31" s="7" t="s">
        <v>126</v>
      </c>
      <c r="B31" s="8" t="s">
        <v>125</v>
      </c>
      <c r="C31" s="22">
        <v>157797.0</v>
      </c>
      <c r="D31" s="23">
        <f t="shared" si="1"/>
        <v>157797000000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>
      <c r="A32" s="7" t="s">
        <v>127</v>
      </c>
      <c r="B32" s="8" t="s">
        <v>125</v>
      </c>
      <c r="C32" s="22">
        <v>121774.0</v>
      </c>
      <c r="D32" s="23">
        <f t="shared" si="1"/>
        <v>121774000000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>
      <c r="A33" s="7" t="s">
        <v>128</v>
      </c>
      <c r="B33" s="8" t="s">
        <v>125</v>
      </c>
      <c r="C33" s="22">
        <v>55493.0</v>
      </c>
      <c r="D33" s="23">
        <f t="shared" si="1"/>
        <v>55493000000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>
      <c r="A34" s="7" t="s">
        <v>129</v>
      </c>
      <c r="B34" s="8" t="s">
        <v>125</v>
      </c>
      <c r="C34" s="22">
        <v>49928.0</v>
      </c>
      <c r="D34" s="23">
        <f t="shared" si="1"/>
        <v>49928000000</v>
      </c>
      <c r="E34" s="24">
        <f>sum(D30:D34)</f>
        <v>575183000000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>
      <c r="A35" s="7" t="s">
        <v>130</v>
      </c>
      <c r="B35" s="7" t="s">
        <v>131</v>
      </c>
      <c r="C35" s="22">
        <v>124918.0</v>
      </c>
      <c r="D35" s="23">
        <f t="shared" si="1"/>
        <v>124918000000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>
      <c r="A36" s="7" t="s">
        <v>132</v>
      </c>
      <c r="B36" s="7" t="s">
        <v>131</v>
      </c>
      <c r="C36" s="22">
        <v>304898.0</v>
      </c>
      <c r="D36" s="23">
        <f t="shared" si="1"/>
        <v>304898000000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>
      <c r="A37" s="7" t="s">
        <v>133</v>
      </c>
      <c r="B37" s="8" t="s">
        <v>131</v>
      </c>
      <c r="C37" s="22">
        <v>97090.0</v>
      </c>
      <c r="D37" s="23">
        <f t="shared" si="1"/>
        <v>97090000000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>
      <c r="A38" s="7" t="s">
        <v>134</v>
      </c>
      <c r="B38" s="8" t="s">
        <v>131</v>
      </c>
      <c r="C38" s="22">
        <v>189160.0</v>
      </c>
      <c r="D38" s="23">
        <f t="shared" si="1"/>
        <v>189160000000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>
      <c r="A39" s="7" t="s">
        <v>135</v>
      </c>
      <c r="B39" s="7" t="s">
        <v>131</v>
      </c>
      <c r="C39" s="22">
        <v>1696206.0</v>
      </c>
      <c r="D39" s="23">
        <f t="shared" si="1"/>
        <v>1696206000000</v>
      </c>
      <c r="E39" s="24">
        <f>sum(D35:D39)</f>
        <v>2412272000000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>
      <c r="A40" s="7" t="s">
        <v>136</v>
      </c>
      <c r="B40" s="7" t="s">
        <v>137</v>
      </c>
      <c r="C40" s="22">
        <v>319850.0</v>
      </c>
      <c r="D40" s="23">
        <f t="shared" si="1"/>
        <v>319850000000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>
      <c r="A41" s="7" t="s">
        <v>138</v>
      </c>
      <c r="B41" s="25" t="s">
        <v>137</v>
      </c>
      <c r="C41" s="22">
        <v>342748.0</v>
      </c>
      <c r="D41" s="23">
        <f t="shared" si="1"/>
        <v>342748000000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>
      <c r="A42" s="7" t="s">
        <v>139</v>
      </c>
      <c r="B42" s="8" t="s">
        <v>137</v>
      </c>
      <c r="C42" s="22">
        <v>71886.0</v>
      </c>
      <c r="D42" s="23">
        <f t="shared" si="1"/>
        <v>71886000000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>
      <c r="A43" s="7" t="s">
        <v>140</v>
      </c>
      <c r="B43" s="8" t="s">
        <v>137</v>
      </c>
      <c r="C43" s="22">
        <v>48098.0</v>
      </c>
      <c r="D43" s="23">
        <f t="shared" si="1"/>
        <v>48098000000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>
      <c r="A44" s="7" t="s">
        <v>141</v>
      </c>
      <c r="B44" s="8" t="s">
        <v>137</v>
      </c>
      <c r="C44" s="22">
        <v>156313.0</v>
      </c>
      <c r="D44" s="23">
        <f t="shared" si="1"/>
        <v>156313000000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>
      <c r="A45" s="7" t="s">
        <v>142</v>
      </c>
      <c r="B45" s="8" t="s">
        <v>137</v>
      </c>
      <c r="C45" s="22">
        <v>165526.0</v>
      </c>
      <c r="D45" s="23">
        <f t="shared" si="1"/>
        <v>165526000000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>
      <c r="A46" s="7" t="s">
        <v>143</v>
      </c>
      <c r="B46" s="8" t="s">
        <v>137</v>
      </c>
      <c r="C46" s="22">
        <v>40286.0</v>
      </c>
      <c r="D46" s="23">
        <f t="shared" si="1"/>
        <v>40286000000</v>
      </c>
      <c r="E46" s="24">
        <f>sum(D40:D46)</f>
        <v>1144707000000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>
      <c r="A47" s="7" t="s">
        <v>144</v>
      </c>
      <c r="B47" s="8" t="s">
        <v>145</v>
      </c>
      <c r="C47" s="26">
        <v>319850.0</v>
      </c>
      <c r="D47" s="23">
        <f t="shared" si="1"/>
        <v>319850000000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>
      <c r="A48" s="7" t="s">
        <v>146</v>
      </c>
      <c r="B48" s="8" t="s">
        <v>145</v>
      </c>
      <c r="C48" s="22">
        <v>2746873.0</v>
      </c>
      <c r="D48" s="23">
        <f t="shared" si="1"/>
        <v>2746873000000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>
      <c r="A49" s="7" t="s">
        <v>147</v>
      </c>
      <c r="B49" s="7" t="s">
        <v>145</v>
      </c>
      <c r="C49" s="26">
        <v>88136.0</v>
      </c>
      <c r="D49" s="23">
        <f t="shared" si="1"/>
        <v>88136000000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>
      <c r="A50" s="7" t="s">
        <v>148</v>
      </c>
      <c r="B50" s="8" t="s">
        <v>145</v>
      </c>
      <c r="C50" s="26">
        <v>236219.0</v>
      </c>
      <c r="D50" s="23">
        <f t="shared" si="1"/>
        <v>236219000000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>
      <c r="A51" s="7" t="s">
        <v>149</v>
      </c>
      <c r="B51" s="8" t="s">
        <v>145</v>
      </c>
      <c r="C51" s="22">
        <v>506353.0</v>
      </c>
      <c r="D51" s="23">
        <f t="shared" si="1"/>
        <v>506353000000</v>
      </c>
      <c r="E51" s="24">
        <f>sum(D47:D51)</f>
        <v>3897431000000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>
      <c r="A52" s="9"/>
      <c r="B52" s="9"/>
      <c r="C52" s="23">
        <f>sum(C2:C51)</f>
        <v>19399401</v>
      </c>
      <c r="D52" s="23">
        <f t="shared" si="1"/>
        <v>19399401000000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</row>
  </sheetData>
  <autoFilter ref="$A$1:$O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150</v>
      </c>
      <c r="B1" s="7" t="s">
        <v>151</v>
      </c>
      <c r="C1" s="7" t="s">
        <v>152</v>
      </c>
      <c r="D1" s="7" t="s">
        <v>153</v>
      </c>
      <c r="E1" s="7" t="s">
        <v>154</v>
      </c>
      <c r="F1" s="7" t="s">
        <v>155</v>
      </c>
      <c r="G1" s="7" t="s">
        <v>156</v>
      </c>
      <c r="H1" s="7" t="s">
        <v>157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7" t="s">
        <v>158</v>
      </c>
      <c r="B2" s="7">
        <v>4.3</v>
      </c>
      <c r="C2" s="7">
        <v>0.1</v>
      </c>
      <c r="D2" s="7">
        <v>235.0</v>
      </c>
      <c r="E2" s="9">
        <f>C2*D2</f>
        <v>23.5</v>
      </c>
      <c r="F2" s="9">
        <f>B2/E2</f>
        <v>0.1829787234</v>
      </c>
      <c r="G2" s="17">
        <f>F2*365</f>
        <v>66.78723404</v>
      </c>
      <c r="H2" s="17">
        <f>G2*24</f>
        <v>1602.893617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7" t="s">
        <v>159</v>
      </c>
      <c r="B3" s="9"/>
      <c r="C3" s="7" t="s">
        <v>160</v>
      </c>
      <c r="D3" s="7">
        <v>90.0</v>
      </c>
      <c r="E3" s="7" t="s">
        <v>161</v>
      </c>
      <c r="F3" s="24">
        <f>D3*60*E2*B10</f>
        <v>38043604800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7" t="s">
        <v>162</v>
      </c>
      <c r="B4" s="9"/>
      <c r="C4" s="27" t="s">
        <v>163</v>
      </c>
      <c r="D4" s="9"/>
      <c r="E4" s="9"/>
      <c r="F4" s="7" t="s">
        <v>164</v>
      </c>
      <c r="G4" s="7">
        <v>144.998</v>
      </c>
      <c r="H4" s="7" t="s">
        <v>165</v>
      </c>
      <c r="I4" s="24">
        <f>G4*149600000</f>
        <v>21691700800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7" t="s">
        <v>166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" t="s">
        <v>167</v>
      </c>
      <c r="B8" s="17">
        <f>B9/0.00044704</f>
        <v>6710.808876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7" t="s">
        <v>168</v>
      </c>
      <c r="B9" s="16">
        <v>3.0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7" t="s">
        <v>169</v>
      </c>
      <c r="B10" s="16">
        <v>299792.0</v>
      </c>
      <c r="C10" s="7" t="s">
        <v>170</v>
      </c>
      <c r="D10" s="17">
        <f>B10/10</f>
        <v>29979.2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" t="s">
        <v>171</v>
      </c>
      <c r="B11" s="7">
        <f>9.8/100</f>
        <v>0.098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7" t="s">
        <v>172</v>
      </c>
      <c r="B12" s="7">
        <v>3.55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7" t="s">
        <v>173</v>
      </c>
      <c r="B13" s="17">
        <f>B12*24*60*60</f>
        <v>306720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7" t="s">
        <v>174</v>
      </c>
      <c r="B14" s="17">
        <f>B9+B11*B13</f>
        <v>30061.56</v>
      </c>
      <c r="C14" s="28" t="s">
        <v>175</v>
      </c>
      <c r="D14" s="29">
        <f>B14/D10</f>
        <v>1.002747238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7" t="s">
        <v>176</v>
      </c>
      <c r="B18" s="9"/>
      <c r="C18" s="7" t="s">
        <v>177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7" t="s">
        <v>171</v>
      </c>
      <c r="B19" s="30">
        <f>0.001*9.8/1000</f>
        <v>0.0000098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7" t="s">
        <v>168</v>
      </c>
      <c r="B20" s="16">
        <v>0.0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7" t="s">
        <v>178</v>
      </c>
      <c r="B21" s="16">
        <v>100.0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7" t="s">
        <v>172</v>
      </c>
      <c r="B22" s="17">
        <f>B21*365</f>
        <v>36500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7" t="s">
        <v>179</v>
      </c>
      <c r="B23" s="17">
        <f>B22*1440</f>
        <v>52560000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7" t="s">
        <v>173</v>
      </c>
      <c r="B24" s="17">
        <f>B23*60</f>
        <v>3153600000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7" t="s">
        <v>174</v>
      </c>
      <c r="B25" s="17">
        <f>B20+B19*B24</f>
        <v>30905.28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</sheetData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180</v>
      </c>
      <c r="B1" s="7" t="s">
        <v>181</v>
      </c>
      <c r="C1" s="7" t="s">
        <v>182</v>
      </c>
      <c r="D1" s="7" t="s">
        <v>183</v>
      </c>
      <c r="E1" s="7" t="s">
        <v>184</v>
      </c>
      <c r="F1" s="7" t="s">
        <v>185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7" t="s">
        <v>186</v>
      </c>
      <c r="B2" s="7">
        <v>2016.0</v>
      </c>
      <c r="C2" s="7">
        <v>2.14115419031E7</v>
      </c>
      <c r="D2" s="31">
        <v>2.14E13</v>
      </c>
      <c r="E2" s="31">
        <v>1.88E13</v>
      </c>
      <c r="F2" s="7">
        <v>7.22363071977513E14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7" t="s">
        <v>187</v>
      </c>
      <c r="B3" s="7">
        <v>2016.0</v>
      </c>
      <c r="C3" s="7">
        <v>1.8707189E7</v>
      </c>
      <c r="D3" s="31">
        <v>1.87E13</v>
      </c>
      <c r="E3" s="31">
        <v>1.65E13</v>
      </c>
      <c r="F3" s="7">
        <v>6.3112608028231E14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7" t="s">
        <v>188</v>
      </c>
      <c r="B4" s="7">
        <v>2016.0</v>
      </c>
      <c r="C4" s="7">
        <v>8705012.6421</v>
      </c>
      <c r="D4" s="31">
        <v>8.71E12</v>
      </c>
      <c r="E4" s="31">
        <v>7.66E12</v>
      </c>
      <c r="F4" s="7">
        <v>2.93681776969086E14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7" t="s">
        <v>189</v>
      </c>
      <c r="B5" s="7">
        <v>2016.0</v>
      </c>
      <c r="C5" s="7">
        <v>5221770.1934</v>
      </c>
      <c r="D5" s="31">
        <v>5.22E12</v>
      </c>
      <c r="E5" s="31">
        <v>4.6E12</v>
      </c>
      <c r="F5" s="7">
        <v>1.76167320183462E14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" t="s">
        <v>190</v>
      </c>
      <c r="B6" s="7">
        <v>2016.0</v>
      </c>
      <c r="C6" s="7">
        <v>4110953.334</v>
      </c>
      <c r="D6" s="31">
        <v>4.11E12</v>
      </c>
      <c r="E6" s="31">
        <v>3.62E12</v>
      </c>
      <c r="F6" s="7">
        <v>1.38691594119828E14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 t="s">
        <v>191</v>
      </c>
      <c r="B7" s="7">
        <v>2016.0</v>
      </c>
      <c r="C7" s="7">
        <v>3531999.0486</v>
      </c>
      <c r="D7" s="31">
        <v>3.53E12</v>
      </c>
      <c r="E7" s="31">
        <v>3.11E12</v>
      </c>
      <c r="F7" s="7">
        <v>1.1915936248379E14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" t="s">
        <v>192</v>
      </c>
      <c r="B8" s="7">
        <v>2016.0</v>
      </c>
      <c r="C8" s="7">
        <v>3156493.7668</v>
      </c>
      <c r="D8" s="31">
        <v>3.16E12</v>
      </c>
      <c r="E8" s="31">
        <v>2.78E12</v>
      </c>
      <c r="F8" s="7">
        <v>1.06490907772195E14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" t="s">
        <v>193</v>
      </c>
      <c r="B9" s="7">
        <v>2016.0</v>
      </c>
      <c r="C9" s="7">
        <v>3031809.7635</v>
      </c>
      <c r="D9" s="31">
        <v>3.03E12</v>
      </c>
      <c r="E9" s="31">
        <v>2.67E12</v>
      </c>
      <c r="F9" s="7">
        <v>1.02284432588958E14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7" t="s">
        <v>194</v>
      </c>
      <c r="B10" s="7">
        <v>2016.0</v>
      </c>
      <c r="C10" s="7">
        <v>2819115.7525</v>
      </c>
      <c r="D10" s="31">
        <v>2.82E12</v>
      </c>
      <c r="E10" s="31">
        <v>2.48E12</v>
      </c>
      <c r="F10" s="7">
        <v>9.5108756036914E13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7" t="s">
        <v>195</v>
      </c>
      <c r="B11" s="7">
        <v>2016.0</v>
      </c>
      <c r="C11" s="7">
        <v>2804273.7771</v>
      </c>
      <c r="D11" s="31">
        <v>2.8E12</v>
      </c>
      <c r="E11" s="31">
        <v>2.47E12</v>
      </c>
      <c r="F11" s="7">
        <v>9.46080310077368E13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7" t="s">
        <v>196</v>
      </c>
      <c r="B12" s="7">
        <v>2016.0</v>
      </c>
      <c r="C12" s="7">
        <v>2367104.1077</v>
      </c>
      <c r="D12" s="31">
        <v>2.37E12</v>
      </c>
      <c r="E12" s="31">
        <v>2.08E12</v>
      </c>
      <c r="F12" s="7">
        <v>7.98591994293133E13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7" t="s">
        <v>197</v>
      </c>
      <c r="B13" s="7">
        <v>2016.0</v>
      </c>
      <c r="C13" s="7">
        <v>2316427.9828</v>
      </c>
      <c r="D13" s="31">
        <v>2.32E12</v>
      </c>
      <c r="E13" s="31">
        <v>2.04E12</v>
      </c>
      <c r="F13" s="7">
        <v>7.81495345474311E13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7" t="s">
        <v>198</v>
      </c>
      <c r="B14" s="7">
        <v>2016.0</v>
      </c>
      <c r="C14" s="7">
        <v>2087370.1871</v>
      </c>
      <c r="D14" s="31">
        <v>2.09E12</v>
      </c>
      <c r="E14" s="31">
        <v>1.84E12</v>
      </c>
      <c r="F14" s="7">
        <v>7.04217915520379E13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7" t="s">
        <v>199</v>
      </c>
      <c r="B15" s="7">
        <v>2016.0</v>
      </c>
      <c r="C15" s="7">
        <v>1903410.733</v>
      </c>
      <c r="D15" s="31">
        <v>1.9E12</v>
      </c>
      <c r="E15" s="31">
        <v>1.68E12</v>
      </c>
      <c r="F15" s="7">
        <v>6.42155352728606E13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7" t="s">
        <v>200</v>
      </c>
      <c r="B16" s="7">
        <v>2016.0</v>
      </c>
      <c r="C16" s="7">
        <v>1706684.7787</v>
      </c>
      <c r="D16" s="31">
        <v>1.71E12</v>
      </c>
      <c r="E16" s="31">
        <v>1.5E12</v>
      </c>
      <c r="F16" s="7">
        <v>5.75785744538323E13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7" t="s">
        <v>201</v>
      </c>
      <c r="B17" s="7">
        <v>2016.0</v>
      </c>
      <c r="C17" s="7">
        <v>1625347.3073</v>
      </c>
      <c r="D17" s="31">
        <v>1.63E12</v>
      </c>
      <c r="E17" s="31">
        <v>1.43E12</v>
      </c>
      <c r="F17" s="7">
        <v>5.48344850289189E13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7" t="s">
        <v>202</v>
      </c>
      <c r="B18" s="7">
        <v>2016.0</v>
      </c>
      <c r="C18" s="7">
        <v>1215897.6861</v>
      </c>
      <c r="D18" s="31">
        <v>1.22E12</v>
      </c>
      <c r="E18" s="31">
        <v>1.07E12</v>
      </c>
      <c r="F18" s="7">
        <v>4.10208471541408E13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7" t="s">
        <v>203</v>
      </c>
      <c r="B19" s="7">
        <v>2016.0</v>
      </c>
      <c r="C19" s="7">
        <v>1053113.6406</v>
      </c>
      <c r="D19" s="31">
        <v>1.05E12</v>
      </c>
      <c r="E19" s="31">
        <v>9.27E11</v>
      </c>
      <c r="F19" s="7">
        <v>3.55289874969303E13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7" t="s">
        <v>204</v>
      </c>
      <c r="B20" s="7">
        <v>2016.0</v>
      </c>
      <c r="C20" s="7">
        <v>878813.8706</v>
      </c>
      <c r="D20" s="31">
        <v>8.79E11</v>
      </c>
      <c r="E20" s="31">
        <v>7.73E11</v>
      </c>
      <c r="F20" s="7">
        <v>2.96486208296449E13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7" t="s">
        <v>205</v>
      </c>
      <c r="B21" s="7">
        <v>2016.0</v>
      </c>
      <c r="C21" s="7">
        <v>874311.8729</v>
      </c>
      <c r="D21" s="31">
        <v>8.74E11</v>
      </c>
      <c r="E21" s="31">
        <v>7.69E11</v>
      </c>
      <c r="F21" s="7">
        <v>2.94967365373634E13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7" t="s">
        <v>206</v>
      </c>
      <c r="B22" s="7">
        <v>2016.0</v>
      </c>
      <c r="C22" s="7">
        <v>696001.5338</v>
      </c>
      <c r="D22" s="31">
        <v>6.96E11</v>
      </c>
      <c r="E22" s="31">
        <v>6.12E11</v>
      </c>
      <c r="F22" s="7">
        <v>2.34810649476877E13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7" t="s">
        <v>207</v>
      </c>
      <c r="B23" s="7">
        <v>2016.0</v>
      </c>
      <c r="C23" s="7">
        <v>535073.5453</v>
      </c>
      <c r="D23" s="31">
        <v>5.35E11</v>
      </c>
      <c r="E23" s="31">
        <v>4.71E11</v>
      </c>
      <c r="F23" s="7">
        <v>1.80518232486959E13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7" t="s">
        <v>208</v>
      </c>
      <c r="B24" s="7">
        <v>2016.0</v>
      </c>
      <c r="C24" s="7">
        <v>487065.3382</v>
      </c>
      <c r="D24" s="31">
        <v>4.87E11</v>
      </c>
      <c r="E24" s="31">
        <v>4.29E11</v>
      </c>
      <c r="F24" s="7">
        <v>1.64321661442317E13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7" t="s">
        <v>209</v>
      </c>
      <c r="B25" s="7">
        <v>2016.0</v>
      </c>
      <c r="C25" s="7">
        <v>451297.2461</v>
      </c>
      <c r="D25" s="31">
        <v>4.51E11</v>
      </c>
      <c r="E25" s="31">
        <v>3.97E11</v>
      </c>
      <c r="F25" s="7">
        <v>1.52254548758391E13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31">
        <v>9.17E13</v>
      </c>
      <c r="E26" s="31">
        <v>8.07E13</v>
      </c>
      <c r="F26" s="31">
        <v>3.09362615494072E15</v>
      </c>
      <c r="G26" s="31">
        <v>3.09362615494072E13</v>
      </c>
      <c r="H26" s="31">
        <v>3.77111302042257E13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