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100" windowHeight="7320" tabRatio="785"/>
  </bookViews>
  <sheets>
    <sheet name="问题分析" sheetId="2" r:id="rId1"/>
    <sheet name="前台" sheetId="13" r:id="rId2"/>
    <sheet name="中台" sheetId="9" r:id="rId3"/>
    <sheet name="后台" sheetId="10" r:id="rId4"/>
    <sheet name="外围" sheetId="7" r:id="rId5"/>
    <sheet name="测试" sheetId="11" r:id="rId6"/>
    <sheet name="整体" sheetId="16" r:id="rId7"/>
    <sheet name="Status" sheetId="1" r:id="rId8"/>
  </sheets>
  <definedNames>
    <definedName name="_xlnm._FilterDatabase" localSheetId="1" hidden="1">前台!$A$2:$O$26</definedName>
    <definedName name="_xlnm._FilterDatabase" localSheetId="2" hidden="1">中台!$A$2:$O$42</definedName>
    <definedName name="_xlnm._FilterDatabase" localSheetId="3" hidden="1">后台!$A$2:$O$19</definedName>
    <definedName name="_xlnm._FilterDatabase" localSheetId="4" hidden="1">外围!$A$2:$O$23</definedName>
    <definedName name="_xlnm._FilterDatabase" localSheetId="5" hidden="1">测试!$A$2:$N$23</definedName>
    <definedName name="_xlnm._FilterDatabase" localSheetId="6" hidden="1">整体!$A$2:$O$23</definedName>
    <definedName name="Attrib" localSheetId="7">Status!$E$1:$E$8</definedName>
    <definedName name="Attrib">Status!$E$1:$E$8</definedName>
    <definedName name="Priority" localSheetId="7">Status!$C$1:$C$4</definedName>
    <definedName name="Priority">Status!$C$1:$C$4</definedName>
    <definedName name="Status" localSheetId="7">Status!$A$1:$A$5</definedName>
    <definedName name="Status">Status!$A$1:$A$5</definedName>
    <definedName name="Z_0C61416D_D59B_4649_85F6_AEDF796B0DAD_.wvu.FilterData" localSheetId="2" hidden="1">中台!$A$2:$Q$35</definedName>
    <definedName name="Z_15791631_B5C9_4186_8ABC_EEB977989462_.wvu.FilterData" localSheetId="2" hidden="1">中台!$A$2:$Q$35</definedName>
    <definedName name="Z_15791631_B5C9_4186_8ABC_EEB977989462_.wvu.FilterData" localSheetId="1" hidden="1">前台!$A$2:$O$14</definedName>
    <definedName name="Z_19E734EB_C323_4B1E_8B45_F7B1BB8006AE_.wvu.FilterData" localSheetId="2" hidden="1">中台!$A$2:$Q$35</definedName>
    <definedName name="Z_19E734EB_C323_4B1E_8B45_F7B1BB8006AE_.wvu.FilterData" localSheetId="1" hidden="1">前台!$A$2:$O$19</definedName>
    <definedName name="Z_458E6FEF_85EA_4FBC_A2C2_E74BF1C5F8E7_.wvu.FilterData" localSheetId="2" hidden="1">中台!$A$2:$Q$35</definedName>
    <definedName name="Z_49948139_CE31_4039_81DF_2ECBB3B9B2B7_.wvu.FilterData" localSheetId="2" hidden="1">中台!$A$2:$Q$35</definedName>
    <definedName name="Z_49948139_CE31_4039_81DF_2ECBB3B9B2B7_.wvu.FilterData" localSheetId="1" hidden="1">前台!$A$2:$O$19</definedName>
    <definedName name="Z_4BF776ED_8CD6_40A5_989C_2E0615285319_.wvu.FilterData" localSheetId="2" hidden="1">中台!$A$2:$Q$35</definedName>
    <definedName name="Z_4BF776ED_8CD6_40A5_989C_2E0615285319_.wvu.FilterData" localSheetId="1" hidden="1">前台!$A$2:$O$19</definedName>
    <definedName name="Z_6095DFAA_970A_48EF_A0F7_13264AD499C1_.wvu.FilterData" localSheetId="1" hidden="1">前台!$A$2:$O$3</definedName>
    <definedName name="Z_9A6CC30D_8E9A_4FB1_BE71_23A81E213608_.wvu.FilterData" localSheetId="2" hidden="1">中台!$A$2:$Q$35</definedName>
    <definedName name="Z_9A6CC30D_8E9A_4FB1_BE71_23A81E213608_.wvu.FilterData" localSheetId="1" hidden="1">前台!$A$2:$O$19</definedName>
    <definedName name="Z_9A9025F4_1D12_4310_ABB3_80169D97BF59_.wvu.FilterData" localSheetId="2" hidden="1">中台!$A$2:$Q$35</definedName>
    <definedName name="Z_9E9D98A6_B779_4ADA_9E33_651B3BE9697E_.wvu.FilterData" localSheetId="2" hidden="1">中台!$A$2:$Q$35</definedName>
    <definedName name="Z_AB425EF6_38C8_4FC6_8E05_33F5005830A8_.wvu.FilterData" localSheetId="2" hidden="1">中台!$A$2:$Q$35</definedName>
    <definedName name="Z_AB425EF6_38C8_4FC6_8E05_33F5005830A8_.wvu.FilterData" localSheetId="1" hidden="1">前台!$A$2:$O$14</definedName>
    <definedName name="Z_CA8ED7EC_0976_42B5_8E93_3C46A78A73CA_.wvu.FilterData" localSheetId="2" hidden="1">中台!$A$2:$Q$35</definedName>
    <definedName name="Z_DEBB82CB_5FEF_4807_8073_478DF265578E_.wvu.FilterData" localSheetId="2" hidden="1">中台!$A$2:$Q$35</definedName>
    <definedName name="重要性">Status!$G$1:$G$3</definedName>
    <definedName name="前台">前台!$C:$C</definedName>
    <definedName name="前台2">前台!$K:$K</definedName>
    <definedName name="外围">外围!$C:$C</definedName>
    <definedName name="外围2">外围!$K:$K</definedName>
    <definedName name="中台">中台!$C:$C</definedName>
    <definedName name="中台2">中台!$K:$K</definedName>
    <definedName name="前台" localSheetId="1">前台!$C:$C</definedName>
    <definedName name="前台2" localSheetId="1">前台!$K:$K</definedName>
    <definedName name="自贸">测试!$C:$C</definedName>
    <definedName name="自贸2">测试!$K:$K</definedName>
    <definedName name="后台">后台!$C:$C</definedName>
    <definedName name="后台2">后台!$K:$K</definedName>
    <definedName name="系统">#REF!</definedName>
    <definedName name="系统2">#REF!</definedName>
    <definedName name="科技2">#REF!</definedName>
    <definedName name="系统" localSheetId="6">整体!$C:$C</definedName>
    <definedName name="系统2" localSheetId="6">整体!$K:$K</definedName>
    <definedName name="风险">整体!$C:$C</definedName>
    <definedName name="风险2">整体!$K:$K</definedName>
  </definedNames>
  <calcPr calcId="144525"/>
</workbook>
</file>

<file path=xl/sharedStrings.xml><?xml version="1.0" encoding="utf-8"?>
<sst xmlns="http://schemas.openxmlformats.org/spreadsheetml/2006/main" count="209">
  <si>
    <t>问题类别</t>
  </si>
  <si>
    <t>管理</t>
  </si>
  <si>
    <t>需求</t>
  </si>
  <si>
    <t>方案</t>
  </si>
  <si>
    <t>配置</t>
  </si>
  <si>
    <t>开发</t>
  </si>
  <si>
    <t>数据</t>
  </si>
  <si>
    <t>系统</t>
  </si>
  <si>
    <t>其他</t>
  </si>
  <si>
    <t>总计</t>
  </si>
  <si>
    <t>前台</t>
  </si>
  <si>
    <t>中台</t>
  </si>
  <si>
    <t>后台</t>
  </si>
  <si>
    <t>外围</t>
  </si>
  <si>
    <t>测试</t>
  </si>
  <si>
    <t>整体</t>
  </si>
  <si>
    <t>问题状态</t>
  </si>
  <si>
    <t>未开始</t>
  </si>
  <si>
    <t>已分配</t>
  </si>
  <si>
    <t>解决中</t>
  </si>
  <si>
    <t>已解决</t>
  </si>
  <si>
    <t>已取消</t>
  </si>
  <si>
    <t>-</t>
  </si>
  <si>
    <t>问题类别汇总</t>
  </si>
  <si>
    <t>问题状态汇总</t>
  </si>
  <si>
    <t>问题清单</t>
  </si>
  <si>
    <t>序号</t>
  </si>
  <si>
    <t>问题说明</t>
  </si>
  <si>
    <t>类别</t>
  </si>
  <si>
    <t>提出人及
联系方式</t>
  </si>
  <si>
    <t>提出日期</t>
  </si>
  <si>
    <t>要求完成时间</t>
  </si>
  <si>
    <t>优先级</t>
  </si>
  <si>
    <t>重要性</t>
  </si>
  <si>
    <t>负责人</t>
  </si>
  <si>
    <t>问题处理记录</t>
  </si>
  <si>
    <t>处理状态</t>
  </si>
  <si>
    <t>解决日期</t>
  </si>
  <si>
    <t>解决方案</t>
  </si>
  <si>
    <t xml:space="preserve">未解决原因 </t>
  </si>
  <si>
    <t>备注</t>
  </si>
  <si>
    <t>报表需求未过完</t>
  </si>
  <si>
    <t>白世南</t>
  </si>
  <si>
    <t>中</t>
  </si>
  <si>
    <t>重要</t>
  </si>
  <si>
    <t>曾锋/白世南</t>
  </si>
  <si>
    <t>1104已过完</t>
  </si>
  <si>
    <t>外汇交易中心客户信息对应表（名称对应）</t>
  </si>
  <si>
    <t>姬韫滔</t>
  </si>
  <si>
    <t>急</t>
  </si>
  <si>
    <t>非常重要</t>
  </si>
  <si>
    <t>朱立朋/白世南</t>
  </si>
  <si>
    <t>需要接口机安装完成，并在接口机上部署cfets接口后，才能拿到cfets的客户名称</t>
  </si>
  <si>
    <t>外汇交易中心只提供测试数据，不提供生产客户信息数据</t>
  </si>
  <si>
    <t>需要多方联系</t>
  </si>
  <si>
    <t>客户信息补全</t>
  </si>
  <si>
    <t>于秀涛</t>
  </si>
  <si>
    <t>前台需要查看债券计提、摊销数据</t>
  </si>
  <si>
    <t>一般</t>
  </si>
  <si>
    <t>白世南/姬韫滔</t>
  </si>
  <si>
    <t>时间是2018-07-31，目前前台已经看过一轮债券计提、摊销数据</t>
  </si>
  <si>
    <t>整个测试都需要看，贯穿整个测试过程</t>
  </si>
  <si>
    <t>红</t>
  </si>
  <si>
    <t>影响项目进度，尚未解决</t>
  </si>
  <si>
    <t>黄</t>
  </si>
  <si>
    <t>影响项目进度，处理中</t>
  </si>
  <si>
    <t>绿</t>
  </si>
  <si>
    <t>需要解决，不影响项目进度</t>
  </si>
  <si>
    <t>状态</t>
  </si>
  <si>
    <t>开放</t>
  </si>
  <si>
    <t>执行</t>
  </si>
  <si>
    <t>关闭</t>
  </si>
  <si>
    <t>未解决原因</t>
  </si>
  <si>
    <t>默认已解决为空</t>
  </si>
  <si>
    <t xml:space="preserve">备注 </t>
  </si>
  <si>
    <t xml:space="preserve">理论损益和实际损益导出接口，由stp做两张报表给ima，怎么给IMA待确认
</t>
  </si>
  <si>
    <t>李如一/罗希</t>
  </si>
  <si>
    <t>提供ods</t>
  </si>
  <si>
    <t>客户信息同步，客户信息由stp吐出,通过ODS传递给ima，每天传交易之前传出。具体情况还需要确认</t>
  </si>
  <si>
    <r>
      <rPr>
        <sz val="9"/>
        <rFont val="Book Antiqua"/>
        <charset val="0"/>
      </rPr>
      <t>stp</t>
    </r>
    <r>
      <rPr>
        <sz val="9"/>
        <rFont val="宋体"/>
        <charset val="0"/>
      </rPr>
      <t>日终会将所有外围需要的数据吐给</t>
    </r>
    <r>
      <rPr>
        <sz val="9"/>
        <rFont val="Book Antiqua"/>
        <charset val="0"/>
      </rPr>
      <t>ods</t>
    </r>
    <r>
      <rPr>
        <sz val="9"/>
        <rFont val="宋体"/>
        <charset val="0"/>
      </rPr>
      <t>，</t>
    </r>
    <r>
      <rPr>
        <sz val="9"/>
        <rFont val="Book Antiqua"/>
        <charset val="0"/>
      </rPr>
      <t>ima</t>
    </r>
    <r>
      <rPr>
        <sz val="9"/>
        <rFont val="宋体"/>
        <charset val="0"/>
      </rPr>
      <t>根据自己的需要从</t>
    </r>
    <r>
      <rPr>
        <sz val="9"/>
        <rFont val="Book Antiqua"/>
        <charset val="0"/>
      </rPr>
      <t>ods</t>
    </r>
    <r>
      <rPr>
        <sz val="9"/>
        <rFont val="宋体"/>
        <charset val="0"/>
      </rPr>
      <t>取</t>
    </r>
  </si>
  <si>
    <t>主协议及附属CSA协议信息随客户信息一起给ima，具体方案待确认</t>
  </si>
  <si>
    <t>需要银行确认，目前银行提供的客户信息无此内容。
6.11：stp目前stp里面没有总分行信息和主协议信息。
stp会把目前跟前台研究好的stp中的客户信息提供给中台，中台要确认是否符合中台需求。另外中台需要把ima需要从ods获取的信息标出来反馈给stp，stp会确认 是否给到ods
6.13：主协议在ima没有设置，手工设置</t>
  </si>
  <si>
    <t>交易对手黑白名单，需求待确认</t>
  </si>
  <si>
    <t>中国客制化版本安装完成后，客户信息具备该功能</t>
  </si>
  <si>
    <t>中台需求需要确认：增发续发方案，万得对于增发续发有单独的一条数据，债券号区别于原债券。中台希望债券的发行量比较准确（包括增发续发）。关于集中度stp不关注。增发续发方案待确定</t>
  </si>
  <si>
    <t>目前提交给大数据的需求，包含该内容</t>
  </si>
  <si>
    <t>债券和曲线配置规则，中台原则：stp跟ima配置一致</t>
  </si>
  <si>
    <t>每支券对应的曲线规则在ima集市配置，在上线前根据ima规则配置到stp中
在上线后的规则的更改用什么方式待定
----------------------
6.11：ima在本周内提供一个更改规则的文件样例，csv格式
----------------------
6.13：bill又发了一个新的文件样例</t>
  </si>
  <si>
    <t>中台未提供债券对应的不同曲线数据文件</t>
  </si>
  <si>
    <t>中台给债券曲线文件我们进行更新</t>
  </si>
  <si>
    <t>对于新增交易需要使用新增的市场数据时的使用规则</t>
  </si>
  <si>
    <t>关于曲线曲面等市场风险数据的参数配置，中台建议：在前台进行某类新交易前，会提前通知中台，中台将研究确定需要的市场数据，可能涉及购买或新下订单采购，然后在IMA系统中进行参数配置。完成上述工作后，新的参数配置将通过接口传给前置系统，再传给STP，以使STP同IMA保持一致。</t>
  </si>
  <si>
    <t>存续期内的风险敞口（押品管理）待确认</t>
  </si>
  <si>
    <t>由于银行没有采购抵押品管理模块，目前项目组正在评估客制化开发的可能性。</t>
  </si>
  <si>
    <t>由于银行没有采购抵押品管理模块，此功能通过报表解决</t>
  </si>
  <si>
    <t>存量交易的处理</t>
  </si>
  <si>
    <t>中台对stp处理无意见，双方各自处理自己系统的存量交易</t>
  </si>
  <si>
    <t>分账本。交易账簿还是银行账簿，通过book区分，stp是ac和oci定义后剩下的归pl</t>
  </si>
  <si>
    <t>账簿不体现在book名字中。ima通过mapping对应book和账簿。
并规定book定义流程为：前台定义book并说明book的含义，前台和中台共同判断是交易账簿还是银行账簿，如果出现一个book同时对2个账簿，进行book拆分，保证一个book对应唯一一个账簿。</t>
  </si>
  <si>
    <t>中台9个问题之一</t>
  </si>
  <si>
    <t>外币债信息同步，stp在前的部分</t>
  </si>
  <si>
    <t>前台在单子中明确sub type给中台
中台以stp为先，万得/路透有的话各自维护各自的
stp要把信息给ima</t>
  </si>
  <si>
    <t>新bond交易无价格</t>
  </si>
  <si>
    <t>新bond交易，stp无债券价格，一级市场及外币债券的可能存在此问题。债券头寸中可以看到债券价格为空。中台手工处理</t>
  </si>
  <si>
    <t>stp与ima一致性的验证方法</t>
  </si>
  <si>
    <t>最终通过比对估值结果来验证
为了风险可控，在项目过程中中台推动KP来验证。由KP出验证方案及估值计划
6.11bill标识不验证一致性</t>
  </si>
  <si>
    <t>ima的测试环境较老，无Must模块</t>
  </si>
  <si>
    <t>6.11确认ima的结构性存款未在must模块中实现，在exotic模块中实现</t>
  </si>
  <si>
    <t>投产的定盘数据通过什么方式给stp</t>
  </si>
  <si>
    <t>中台回复：
需要与科技、公司进行确认。CFETS-路透，人民币-万得，前台外汇交易中心是否有此部分数据。</t>
  </si>
  <si>
    <t>投产前之间从路透取一年的</t>
  </si>
  <si>
    <t>中债的次级债的曲线</t>
  </si>
  <si>
    <t>不影响大的框架，在后续测试中再确定</t>
  </si>
  <si>
    <t>中台外币如何折人民币待确认</t>
  </si>
  <si>
    <t>赵帆</t>
  </si>
  <si>
    <r>
      <rPr>
        <sz val="9"/>
        <rFont val="宋体"/>
        <charset val="0"/>
      </rPr>
      <t>目前</t>
    </r>
    <r>
      <rPr>
        <sz val="9"/>
        <rFont val="Book Antiqua"/>
        <charset val="0"/>
      </rPr>
      <t>IMA</t>
    </r>
    <r>
      <rPr>
        <sz val="9"/>
        <rFont val="宋体"/>
        <charset val="0"/>
      </rPr>
      <t>中方式为两币种收益率贴现回现值，再采用</t>
    </r>
    <r>
      <rPr>
        <sz val="9"/>
        <rFont val="Book Antiqua"/>
        <charset val="0"/>
      </rPr>
      <t>CFETS</t>
    </r>
    <r>
      <rPr>
        <sz val="9"/>
        <rFont val="宋体"/>
        <charset val="0"/>
      </rPr>
      <t>汇率折成人民币</t>
    </r>
  </si>
  <si>
    <t>信贷需求未确定</t>
  </si>
  <si>
    <t>6月4日讨论还有未确认问题</t>
  </si>
  <si>
    <t>小中台的市场风险限额需求</t>
  </si>
  <si>
    <t>6.6：项目组提供农行的样例，请中台提供需求指标，然后再评估实现的可能性
6.7：中台需要请咨询公司整理一份限额方案，包括信用债下跌10%的限额等</t>
  </si>
  <si>
    <t>中台提供了需求，进行了讨论</t>
  </si>
  <si>
    <t>由于批处理对于定盘数据时效性要求，定盘数据（路透data SGP数据）需不经过ima集市，或者进ima集市的同时提供给stp</t>
  </si>
  <si>
    <t>6.7中台回复：需要路透的数据文件，需要与科技、公司进行确认
6.11中台回复：ima集市会确认清洗后的定盘数据是否满足stp利率重置的要求。还会确认是否在清洗前此文件是否stp可以取得</t>
  </si>
  <si>
    <t>数据由风险集市给出</t>
  </si>
  <si>
    <t>风险数据集市进行stp取数调研</t>
  </si>
  <si>
    <t>6.11：ima提供给stp一份ima要求的数据清单，包括交易、交易对手、债券定义。
stp提供给ima一份stp给ods下发的数据列表。
双方各自进行比对
7-6，进行了沟通
风险集市要取summit原表，方案需要跟ODS确认</t>
  </si>
  <si>
    <t>风险数据集市尚未确认取数来源：stp原表或stp报平台加工后数据</t>
  </si>
  <si>
    <t>利率挂钩产品使用哪个模块需要再确认</t>
  </si>
  <si>
    <t>债券评级准入检查为统计方面的需求，方案待定</t>
  </si>
  <si>
    <t>信贷接口需求尚未明确</t>
  </si>
  <si>
    <t xml:space="preserve">李如一/罗希/陈申悦    </t>
  </si>
  <si>
    <t>风险部尚未最终落实信贷接口需求</t>
  </si>
  <si>
    <t>风险数据集市定盘数据和估值数据异常获取的的应急操作方案跟中台确认</t>
  </si>
  <si>
    <t>低</t>
  </si>
  <si>
    <t>李如一/罗希/王立森</t>
  </si>
  <si>
    <t>应急操作方案跟中台未确认</t>
  </si>
  <si>
    <t>人民币收付账号不支持利率掉期交易，处理方法待确认</t>
  </si>
  <si>
    <t>张媛</t>
  </si>
  <si>
    <t>张浩/于秀涛</t>
  </si>
  <si>
    <t>6-15张媛提出：但从目前情况来看，不是只对人民币币种，会计设置会影响其他外币币种的清算账号的设置，而且调账时是否也需逐一账务设置？所以解决方案待定。</t>
  </si>
  <si>
    <t>人民币利率掉期收付的加后缀核心账号设在accounting schema里，SSI中为空。总账接口会还原回核心账号</t>
  </si>
  <si>
    <t>提出者已确认</t>
  </si>
  <si>
    <t>中文界面：目前只有ssi的3个和bond trade</t>
  </si>
  <si>
    <t>白世南/俊杰</t>
  </si>
  <si>
    <t>问题已经提到Misys，Misys提供了新的中文界面资源包
因客制化未开始，部分功能无法使用
6-13良平反馈：差债券承分销，其他已ok</t>
  </si>
  <si>
    <t>辅助功能</t>
  </si>
  <si>
    <t>后台报表需求分析</t>
  </si>
  <si>
    <t>后台报表需求分析需要再进行讨论确认</t>
  </si>
  <si>
    <t>常用会计事件需要中文解释</t>
  </si>
  <si>
    <t>后台未确认</t>
  </si>
  <si>
    <t>债券借贷业务发生收付息</t>
  </si>
  <si>
    <t>xfund需求未访谈</t>
  </si>
  <si>
    <t>2018/6/5与国际业务部董兰杰、资金运营中心金晓楠以及xfund系统进行需求确认</t>
  </si>
  <si>
    <t>确认了正常交易/非常交割/人民币即期日终收盘牌价的方案</t>
  </si>
  <si>
    <t>向xfund系统要牌价文件样例</t>
  </si>
  <si>
    <t>文件已发给小詹</t>
  </si>
  <si>
    <t>日终收盘牌价是通过大数据平台获取还是通过x-fund获取还需要确认</t>
  </si>
  <si>
    <t>王文杰</t>
  </si>
  <si>
    <t>通过x-fund获取</t>
  </si>
  <si>
    <t>为了获取cfets交易对手信息，需要在cfets接口上部署的RDI接口</t>
  </si>
  <si>
    <t>朱立朋</t>
  </si>
  <si>
    <t>swift接口传输方式使用文件还是mq需要确认</t>
  </si>
  <si>
    <t>还需要调研未确认</t>
  </si>
  <si>
    <t>未确认</t>
  </si>
  <si>
    <t>路透实时数据接口是直连还是通过大数据平台获取需要确定</t>
  </si>
  <si>
    <t>赵阳阳</t>
  </si>
  <si>
    <t>接口平台和summit主体之间的文件通信方式确定：推荐共享目录方式</t>
  </si>
  <si>
    <t>运维部门</t>
  </si>
  <si>
    <t>目前放入一个服务器上，，不需要通信</t>
  </si>
  <si>
    <t>需要2台交易中心接口机，虚拟机安装测试后无法使用，需要win7的实体机。</t>
  </si>
  <si>
    <t>先安装SSCERuntime-CHS.exe（Sql Server Compact 3.5 SP2 Runtime）之后再安装Cfets程序软件</t>
  </si>
  <si>
    <t>RTF/DEV环境搭建（225）</t>
  </si>
  <si>
    <t>王晓东/Misys</t>
  </si>
  <si>
    <t>三个application无license：
（TRS交易：无Credit Derivative product license
security lending 和collateral：无Sec Fin Workstation license）</t>
  </si>
  <si>
    <t>misys</t>
  </si>
  <si>
    <t>已向Misys申请</t>
  </si>
  <si>
    <t>1、security lending和collateral交易中文界面不需要此license可用</t>
  </si>
  <si>
    <t>Exotic trade无license：</t>
  </si>
  <si>
    <t>2018/7/6，misys反馈此模块银行未购买，
于总回复：exotic trade 中collar 类型交易是cap floor交易的组合，是标准模块，有cap floor的期限就一定需要exotic trade的权限</t>
  </si>
  <si>
    <t>需使用DNS进行系统内部交互、与行内外围系统间交互</t>
  </si>
  <si>
    <t>SIT完成前</t>
  </si>
  <si>
    <t>系统客户端访问、数据库访问没问题，其他部分需要测试验证</t>
  </si>
  <si>
    <t>misys顾问已经确认，但没有测试</t>
  </si>
  <si>
    <t>Index CDS 交易无法使用</t>
  </si>
  <si>
    <t>需要模型定义</t>
  </si>
  <si>
    <t>二期工作</t>
  </si>
  <si>
    <t>交易中心本币外币接口网络通信问题</t>
  </si>
  <si>
    <t>白世南/黄蒙</t>
  </si>
  <si>
    <t>需求未全部敲定</t>
  </si>
  <si>
    <t>前台5%                         中台30%                          后台10%                       未落实最终需求。尚未提交需求变更流程，最终需求规格说明书尚未确定</t>
  </si>
  <si>
    <t>需求未全部确定</t>
  </si>
  <si>
    <t>misys技术资源紧张</t>
  </si>
  <si>
    <t>从6月4日起有一名固定成员进入项目</t>
  </si>
  <si>
    <t>225REF/DEV环境安装风险：因没有Windows2012R2版本安装盘，目前安装方法为复制100环境，再此环境的基础上清理成为干净环境，然后再进行安装。
这种方法有风险隐患</t>
  </si>
  <si>
    <t>科技</t>
  </si>
  <si>
    <t>所得税需求未访谈</t>
  </si>
  <si>
    <t>6-1日进行了一次需求访谈，还需要进一步确认</t>
  </si>
  <si>
    <t>misys提供的客制化包不符合行内要求，一方面是当时要求行内的没有全部落地，比如中文化界面跟当时承诺的不一致。另一方面是拿过来的包需要比较长的时间编译和排错</t>
  </si>
  <si>
    <t>Misys</t>
  </si>
  <si>
    <t>目前10个接口开发总量为：155人天，目前到场接口开发人员有2名，需考虑开发进度上存在的风险。</t>
  </si>
  <si>
    <t>正在协调公司人员</t>
  </si>
  <si>
    <t>已增加接口开发人员入场</t>
  </si>
  <si>
    <t>投产方案有三种需考虑：
  A：全部功能完成，完整上线；
  B：系统部分功能上线，核心模块完成但剩余功能待二期上线；
  C：系统基本功能无法实现，系统无法上线。
B方案中可以舍掉的功能需要业务部门确定</t>
  </si>
  <si>
    <t>姬韫滔/曾锋</t>
  </si>
  <si>
    <t>交易部分的数据移型需要确认方案</t>
  </si>
  <si>
    <t>系统设计文档尚未编写完成</t>
  </si>
  <si>
    <t>白世南/席宇</t>
  </si>
  <si>
    <t>mysis尚未提供详细设计文档</t>
  </si>
  <si>
    <t>高</t>
  </si>
</sst>
</file>

<file path=xl/styles.xml><?xml version="1.0" encoding="utf-8"?>
<styleSheet xmlns="http://schemas.openxmlformats.org/spreadsheetml/2006/main">
  <numFmts count="5">
    <numFmt numFmtId="176" formatCode="yy/mm/dd"/>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9">
    <font>
      <sz val="12"/>
      <name val="宋体"/>
      <charset val="134"/>
    </font>
    <font>
      <sz val="9"/>
      <name val="Book Antiqua"/>
      <charset val="0"/>
    </font>
    <font>
      <sz val="9"/>
      <name val="宋体"/>
      <charset val="134"/>
    </font>
    <font>
      <sz val="9"/>
      <name val="宋体"/>
      <charset val="0"/>
    </font>
    <font>
      <b/>
      <sz val="9"/>
      <name val="Book Antiqua"/>
      <charset val="0"/>
    </font>
    <font>
      <b/>
      <sz val="16"/>
      <color indexed="12"/>
      <name val="黑体"/>
      <charset val="134"/>
    </font>
    <font>
      <b/>
      <sz val="10"/>
      <name val="黑体"/>
      <charset val="134"/>
    </font>
    <font>
      <sz val="9"/>
      <color theme="1"/>
      <name val="宋体"/>
      <charset val="134"/>
      <scheme val="minor"/>
    </font>
    <font>
      <b/>
      <sz val="10"/>
      <color indexed="10"/>
      <name val="黑体"/>
      <charset val="134"/>
    </font>
    <font>
      <sz val="10"/>
      <color indexed="8"/>
      <name val="仿宋_GB2312"/>
      <charset val="134"/>
    </font>
    <font>
      <b/>
      <sz val="10"/>
      <color indexed="51"/>
      <name val="黑体"/>
      <charset val="134"/>
    </font>
    <font>
      <b/>
      <sz val="10"/>
      <color indexed="11"/>
      <name val="黑体"/>
      <charset val="134"/>
    </font>
    <font>
      <b/>
      <sz val="10"/>
      <color indexed="12"/>
      <name val="宋体"/>
      <charset val="134"/>
    </font>
    <font>
      <b/>
      <sz val="10"/>
      <name val="宋体"/>
      <charset val="134"/>
    </font>
    <font>
      <sz val="9"/>
      <color rgb="FFFF0000"/>
      <name val="宋体"/>
      <charset val="0"/>
    </font>
    <font>
      <b/>
      <sz val="16"/>
      <color indexed="12"/>
      <name val="华文细黑"/>
      <charset val="134"/>
    </font>
    <font>
      <sz val="9"/>
      <color indexed="63"/>
      <name val="宋体"/>
      <charset val="134"/>
    </font>
    <font>
      <sz val="11"/>
      <name val="华文楷体"/>
      <charset val="134"/>
    </font>
    <font>
      <b/>
      <sz val="11"/>
      <name val="华文楷体"/>
      <charset val="134"/>
    </font>
    <font>
      <sz val="11"/>
      <color theme="1"/>
      <name val="宋体"/>
      <charset val="134"/>
      <scheme val="minor"/>
    </font>
    <font>
      <sz val="11"/>
      <color theme="0"/>
      <name val="宋体"/>
      <charset val="134"/>
      <scheme val="minor"/>
    </font>
    <font>
      <sz val="11"/>
      <color rgb="FF9C0006"/>
      <name val="宋体"/>
      <charset val="134"/>
      <scheme val="minor"/>
    </font>
    <font>
      <sz val="11"/>
      <color rgb="FF006100"/>
      <name val="宋体"/>
      <charset val="134"/>
      <scheme val="minor"/>
    </font>
    <font>
      <i/>
      <sz val="11"/>
      <color rgb="FF7F7F7F"/>
      <name val="宋体"/>
      <charset val="134"/>
      <scheme val="minor"/>
    </font>
    <font>
      <b/>
      <sz val="11"/>
      <color theme="3"/>
      <name val="宋体"/>
      <charset val="134"/>
      <scheme val="minor"/>
    </font>
    <font>
      <u/>
      <sz val="11"/>
      <color rgb="FF800080"/>
      <name val="宋体"/>
      <charset val="0"/>
      <scheme val="minor"/>
    </font>
    <font>
      <b/>
      <sz val="11"/>
      <color rgb="FF3F3F3F"/>
      <name val="宋体"/>
      <charset val="134"/>
      <scheme val="minor"/>
    </font>
    <font>
      <sz val="10"/>
      <name val="Arial"/>
      <charset val="0"/>
    </font>
    <font>
      <sz val="11"/>
      <color rgb="FF3F3F76"/>
      <name val="宋体"/>
      <charset val="134"/>
      <scheme val="minor"/>
    </font>
    <font>
      <b/>
      <sz val="11"/>
      <color theme="0"/>
      <name val="宋体"/>
      <charset val="134"/>
      <scheme val="minor"/>
    </font>
    <font>
      <b/>
      <sz val="13"/>
      <color theme="3"/>
      <name val="宋体"/>
      <charset val="134"/>
      <scheme val="minor"/>
    </font>
    <font>
      <sz val="11"/>
      <color rgb="FFFF0000"/>
      <name val="宋体"/>
      <charset val="134"/>
      <scheme val="minor"/>
    </font>
    <font>
      <sz val="11"/>
      <color rgb="FF9C6500"/>
      <name val="宋体"/>
      <charset val="134"/>
      <scheme val="minor"/>
    </font>
    <font>
      <b/>
      <sz val="11"/>
      <color theme="1"/>
      <name val="宋体"/>
      <charset val="134"/>
      <scheme val="minor"/>
    </font>
    <font>
      <b/>
      <sz val="18"/>
      <color theme="3"/>
      <name val="宋体"/>
      <charset val="134"/>
      <scheme val="major"/>
    </font>
    <font>
      <u/>
      <sz val="11"/>
      <color rgb="FF0000FF"/>
      <name val="宋体"/>
      <charset val="0"/>
      <scheme val="minor"/>
    </font>
    <font>
      <sz val="11"/>
      <color rgb="FFFA7D00"/>
      <name val="宋体"/>
      <charset val="134"/>
      <scheme val="minor"/>
    </font>
    <font>
      <b/>
      <sz val="15"/>
      <color theme="3"/>
      <name val="宋体"/>
      <charset val="134"/>
      <scheme val="minor"/>
    </font>
    <font>
      <b/>
      <sz val="11"/>
      <color rgb="FFFA7D00"/>
      <name val="宋体"/>
      <charset val="134"/>
      <scheme val="minor"/>
    </font>
  </fonts>
  <fills count="37">
    <fill>
      <patternFill patternType="none"/>
    </fill>
    <fill>
      <patternFill patternType="gray125"/>
    </fill>
    <fill>
      <patternFill patternType="solid">
        <fgColor theme="0"/>
        <bgColor indexed="64"/>
      </patternFill>
    </fill>
    <fill>
      <patternFill patternType="solid">
        <fgColor indexed="42"/>
        <bgColor indexed="64"/>
      </patternFill>
    </fill>
    <fill>
      <patternFill patternType="solid">
        <fgColor indexed="13"/>
        <bgColor indexed="64"/>
      </patternFill>
    </fill>
    <fill>
      <patternFill patternType="solid">
        <fgColor indexed="52"/>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9"/>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s>
  <borders count="2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double">
        <color auto="1"/>
      </left>
      <right style="dotted">
        <color auto="1"/>
      </right>
      <top style="double">
        <color auto="1"/>
      </top>
      <bottom style="dotted">
        <color auto="1"/>
      </bottom>
      <diagonal/>
    </border>
    <border>
      <left style="dotted">
        <color auto="1"/>
      </left>
      <right style="dotted">
        <color auto="1"/>
      </right>
      <top style="double">
        <color auto="1"/>
      </top>
      <bottom style="dotted">
        <color auto="1"/>
      </bottom>
      <diagonal/>
    </border>
    <border>
      <left/>
      <right style="dotted">
        <color auto="1"/>
      </right>
      <top style="double">
        <color auto="1"/>
      </top>
      <bottom style="dotted">
        <color auto="1"/>
      </bottom>
      <diagonal/>
    </border>
    <border>
      <left style="double">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uble">
        <color auto="1"/>
      </left>
      <right style="dotted">
        <color auto="1"/>
      </right>
      <top style="dotted">
        <color auto="1"/>
      </top>
      <bottom/>
      <diagonal/>
    </border>
    <border>
      <left style="double">
        <color auto="1"/>
      </left>
      <right style="dotted">
        <color auto="1"/>
      </right>
      <top style="dotted">
        <color auto="1"/>
      </top>
      <bottom style="double">
        <color auto="1"/>
      </bottom>
      <diagonal/>
    </border>
    <border>
      <left style="dotted">
        <color auto="1"/>
      </left>
      <right style="dotted">
        <color auto="1"/>
      </right>
      <top style="dotted">
        <color auto="1"/>
      </top>
      <bottom style="double">
        <color auto="1"/>
      </bottom>
      <diagonal/>
    </border>
    <border>
      <left/>
      <right style="dotted">
        <color auto="1"/>
      </right>
      <top style="dotted">
        <color auto="1"/>
      </top>
      <bottom style="double">
        <color auto="1"/>
      </bottom>
      <diagonal/>
    </border>
    <border>
      <left style="dotted">
        <color auto="1"/>
      </left>
      <right style="double">
        <color auto="1"/>
      </right>
      <top style="double">
        <color auto="1"/>
      </top>
      <bottom style="dotted">
        <color auto="1"/>
      </bottom>
      <diagonal/>
    </border>
    <border>
      <left style="dotted">
        <color auto="1"/>
      </left>
      <right style="double">
        <color auto="1"/>
      </right>
      <top style="dotted">
        <color auto="1"/>
      </top>
      <bottom style="dotted">
        <color auto="1"/>
      </bottom>
      <diagonal/>
    </border>
    <border>
      <left style="dotted">
        <color auto="1"/>
      </left>
      <right style="double">
        <color auto="1"/>
      </right>
      <top style="dotted">
        <color auto="1"/>
      </top>
      <bottom style="double">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0" fillId="0" borderId="0" applyFont="0" applyFill="0" applyBorder="0" applyAlignment="0" applyProtection="0">
      <alignment vertical="center"/>
    </xf>
    <xf numFmtId="0" fontId="19" fillId="12" borderId="0" applyNumberFormat="0" applyBorder="0" applyAlignment="0" applyProtection="0">
      <alignment vertical="center"/>
    </xf>
    <xf numFmtId="0" fontId="28" fillId="16"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3" borderId="0" applyNumberFormat="0" applyBorder="0" applyAlignment="0" applyProtection="0">
      <alignment vertical="center"/>
    </xf>
    <xf numFmtId="0" fontId="21" fillId="9" borderId="0" applyNumberFormat="0" applyBorder="0" applyAlignment="0" applyProtection="0">
      <alignment vertical="center"/>
    </xf>
    <xf numFmtId="43" fontId="0" fillId="0" borderId="0" applyFont="0" applyFill="0" applyBorder="0" applyAlignment="0" applyProtection="0">
      <alignment vertical="center"/>
    </xf>
    <xf numFmtId="0" fontId="20" fillId="25"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9" borderId="25" applyNumberFormat="0" applyFont="0" applyAlignment="0" applyProtection="0">
      <alignment vertical="center"/>
    </xf>
    <xf numFmtId="0" fontId="20" fillId="24" borderId="0" applyNumberFormat="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xf numFmtId="0" fontId="37" fillId="0" borderId="24" applyNumberFormat="0" applyFill="0" applyAlignment="0" applyProtection="0">
      <alignment vertical="center"/>
    </xf>
    <xf numFmtId="0" fontId="30" fillId="0" borderId="20" applyNumberFormat="0" applyFill="0" applyAlignment="0" applyProtection="0">
      <alignment vertical="center"/>
    </xf>
    <xf numFmtId="0" fontId="20" fillId="8" borderId="0" applyNumberFormat="0" applyBorder="0" applyAlignment="0" applyProtection="0">
      <alignment vertical="center"/>
    </xf>
    <xf numFmtId="0" fontId="24" fillId="0" borderId="22" applyNumberFormat="0" applyFill="0" applyAlignment="0" applyProtection="0">
      <alignment vertical="center"/>
    </xf>
    <xf numFmtId="0" fontId="20" fillId="33" borderId="0" applyNumberFormat="0" applyBorder="0" applyAlignment="0" applyProtection="0">
      <alignment vertical="center"/>
    </xf>
    <xf numFmtId="0" fontId="26" fillId="15" borderId="17" applyNumberFormat="0" applyAlignment="0" applyProtection="0">
      <alignment vertical="center"/>
    </xf>
    <xf numFmtId="0" fontId="38" fillId="15" borderId="18" applyNumberFormat="0" applyAlignment="0" applyProtection="0">
      <alignment vertical="center"/>
    </xf>
    <xf numFmtId="0" fontId="29" fillId="21" borderId="19" applyNumberFormat="0" applyAlignment="0" applyProtection="0">
      <alignment vertical="center"/>
    </xf>
    <xf numFmtId="0" fontId="19" fillId="28" borderId="0" applyNumberFormat="0" applyBorder="0" applyAlignment="0" applyProtection="0">
      <alignment vertical="center"/>
    </xf>
    <xf numFmtId="0" fontId="20" fillId="14" borderId="0" applyNumberFormat="0" applyBorder="0" applyAlignment="0" applyProtection="0">
      <alignment vertical="center"/>
    </xf>
    <xf numFmtId="0" fontId="36" fillId="0" borderId="23" applyNumberFormat="0" applyFill="0" applyAlignment="0" applyProtection="0">
      <alignment vertical="center"/>
    </xf>
    <xf numFmtId="0" fontId="33" fillId="0" borderId="21" applyNumberFormat="0" applyFill="0" applyAlignment="0" applyProtection="0">
      <alignment vertical="center"/>
    </xf>
    <xf numFmtId="0" fontId="22" fillId="11" borderId="0" applyNumberFormat="0" applyBorder="0" applyAlignment="0" applyProtection="0">
      <alignment vertical="center"/>
    </xf>
    <xf numFmtId="0" fontId="32" fillId="23" borderId="0" applyNumberFormat="0" applyBorder="0" applyAlignment="0" applyProtection="0">
      <alignment vertical="center"/>
    </xf>
    <xf numFmtId="0" fontId="19" fillId="32" borderId="0" applyNumberFormat="0" applyBorder="0" applyAlignment="0" applyProtection="0">
      <alignment vertical="center"/>
    </xf>
    <xf numFmtId="0" fontId="20" fillId="31" borderId="0" applyNumberFormat="0" applyBorder="0" applyAlignment="0" applyProtection="0">
      <alignment vertical="center"/>
    </xf>
    <xf numFmtId="0" fontId="19" fillId="36" borderId="0" applyNumberFormat="0" applyBorder="0" applyAlignment="0" applyProtection="0">
      <alignment vertical="center"/>
    </xf>
    <xf numFmtId="0" fontId="19" fillId="20" borderId="0" applyNumberFormat="0" applyBorder="0" applyAlignment="0" applyProtection="0">
      <alignment vertical="center"/>
    </xf>
    <xf numFmtId="0" fontId="19" fillId="22" borderId="0" applyNumberFormat="0" applyBorder="0" applyAlignment="0" applyProtection="0">
      <alignment vertical="center"/>
    </xf>
    <xf numFmtId="0" fontId="19" fillId="7" borderId="0" applyNumberFormat="0" applyBorder="0" applyAlignment="0" applyProtection="0">
      <alignment vertical="center"/>
    </xf>
    <xf numFmtId="0" fontId="20" fillId="35" borderId="0" applyNumberFormat="0" applyBorder="0" applyAlignment="0" applyProtection="0">
      <alignment vertical="center"/>
    </xf>
    <xf numFmtId="0" fontId="20" fillId="10" borderId="0" applyNumberFormat="0" applyBorder="0" applyAlignment="0" applyProtection="0">
      <alignment vertical="center"/>
    </xf>
    <xf numFmtId="0" fontId="19" fillId="6" borderId="0" applyNumberFormat="0" applyBorder="0" applyAlignment="0" applyProtection="0">
      <alignment vertical="center"/>
    </xf>
    <xf numFmtId="0" fontId="19" fillId="27" borderId="0" applyNumberFormat="0" applyBorder="0" applyAlignment="0" applyProtection="0">
      <alignment vertical="center"/>
    </xf>
    <xf numFmtId="0" fontId="20" fillId="19" borderId="0" applyNumberFormat="0" applyBorder="0" applyAlignment="0" applyProtection="0">
      <alignment vertical="center"/>
    </xf>
    <xf numFmtId="0" fontId="19" fillId="34" borderId="0" applyNumberFormat="0" applyBorder="0" applyAlignment="0" applyProtection="0">
      <alignment vertical="center"/>
    </xf>
    <xf numFmtId="0" fontId="20" fillId="26" borderId="0" applyNumberFormat="0" applyBorder="0" applyAlignment="0" applyProtection="0">
      <alignment vertical="center"/>
    </xf>
    <xf numFmtId="0" fontId="20" fillId="30" borderId="0" applyNumberFormat="0" applyBorder="0" applyAlignment="0" applyProtection="0">
      <alignment vertical="center"/>
    </xf>
    <xf numFmtId="0" fontId="19" fillId="18" borderId="0" applyNumberFormat="0" applyBorder="0" applyAlignment="0" applyProtection="0">
      <alignment vertical="center"/>
    </xf>
    <xf numFmtId="0" fontId="20" fillId="17" borderId="0" applyNumberFormat="0" applyBorder="0" applyAlignment="0" applyProtection="0">
      <alignment vertical="center"/>
    </xf>
  </cellStyleXfs>
  <cellXfs count="84">
    <xf numFmtId="0" fontId="0" fillId="0" borderId="0" xfId="0">
      <alignment vertical="center"/>
    </xf>
    <xf numFmtId="0" fontId="1" fillId="0" borderId="0" xfId="19" applyFont="1"/>
    <xf numFmtId="0" fontId="2" fillId="0" borderId="0" xfId="19" applyFont="1"/>
    <xf numFmtId="0" fontId="3" fillId="0" borderId="0" xfId="19" applyFont="1"/>
    <xf numFmtId="0" fontId="4" fillId="0" borderId="0" xfId="19" applyFont="1" applyAlignment="1">
      <alignment horizontal="center" vertical="center" wrapText="1"/>
    </xf>
    <xf numFmtId="0" fontId="1" fillId="0" borderId="0" xfId="19" applyFont="1" applyFill="1" applyAlignment="1">
      <alignment vertical="center" wrapText="1"/>
    </xf>
    <xf numFmtId="0" fontId="1" fillId="0" borderId="0" xfId="19" applyFont="1" applyAlignment="1">
      <alignment vertical="center" wrapText="1"/>
    </xf>
    <xf numFmtId="0" fontId="1" fillId="2" borderId="0" xfId="19" applyFont="1" applyFill="1" applyAlignment="1">
      <alignment vertical="center" wrapText="1"/>
    </xf>
    <xf numFmtId="0" fontId="1" fillId="0" borderId="0" xfId="19" applyFont="1" applyAlignment="1">
      <alignment horizontal="center" vertical="center" wrapText="1"/>
    </xf>
    <xf numFmtId="176" fontId="2" fillId="0" borderId="0" xfId="19" applyNumberFormat="1" applyFont="1" applyAlignment="1">
      <alignment horizontal="center" vertical="center" wrapText="1"/>
    </xf>
    <xf numFmtId="0" fontId="5" fillId="0" borderId="1" xfId="0" applyFont="1" applyBorder="1" applyAlignment="1">
      <alignment horizontal="center" vertical="center"/>
    </xf>
    <xf numFmtId="0" fontId="6" fillId="3" borderId="2" xfId="19" applyFont="1" applyFill="1" applyBorder="1" applyAlignment="1">
      <alignment horizontal="center" vertical="center" wrapText="1"/>
    </xf>
    <xf numFmtId="176" fontId="6" fillId="3" borderId="2" xfId="19" applyNumberFormat="1" applyFont="1" applyFill="1" applyBorder="1" applyAlignment="1">
      <alignment horizontal="center" vertical="center" wrapText="1"/>
    </xf>
    <xf numFmtId="0" fontId="1" fillId="0" borderId="2" xfId="19" applyFont="1" applyFill="1" applyBorder="1" applyAlignment="1">
      <alignment horizontal="center" vertical="center" wrapText="1"/>
    </xf>
    <xf numFmtId="0" fontId="7" fillId="0" borderId="2" xfId="0" applyFont="1" applyFill="1" applyBorder="1" applyAlignment="1">
      <alignment vertical="center" wrapText="1"/>
    </xf>
    <xf numFmtId="0" fontId="2" fillId="0" borderId="2" xfId="19" applyFont="1" applyBorder="1" applyAlignment="1">
      <alignment horizontal="center" vertical="center" wrapText="1"/>
    </xf>
    <xf numFmtId="176" fontId="2" fillId="0" borderId="2" xfId="19" applyNumberFormat="1" applyFont="1" applyBorder="1" applyAlignment="1">
      <alignment horizontal="center" vertical="center" wrapText="1"/>
    </xf>
    <xf numFmtId="0" fontId="7" fillId="0" borderId="2" xfId="0" applyFont="1" applyFill="1" applyBorder="1" applyAlignment="1">
      <alignment vertical="center"/>
    </xf>
    <xf numFmtId="0" fontId="2" fillId="0" borderId="2" xfId="19" applyFont="1" applyFill="1" applyBorder="1" applyAlignment="1">
      <alignment horizontal="center" vertical="center" wrapText="1"/>
    </xf>
    <xf numFmtId="176" fontId="2" fillId="0" borderId="2" xfId="19"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1" fillId="0" borderId="2" xfId="19" applyFont="1" applyBorder="1" applyAlignment="1">
      <alignment horizontal="center" vertical="center" wrapText="1"/>
    </xf>
    <xf numFmtId="0" fontId="1" fillId="2" borderId="2" xfId="19" applyFont="1" applyFill="1" applyBorder="1" applyAlignment="1">
      <alignment horizontal="center" vertical="center" wrapText="1"/>
    </xf>
    <xf numFmtId="0" fontId="3" fillId="2" borderId="2" xfId="19" applyFont="1" applyFill="1" applyBorder="1" applyAlignment="1">
      <alignment vertical="center" wrapText="1"/>
    </xf>
    <xf numFmtId="0" fontId="2" fillId="2" borderId="2" xfId="19" applyFont="1" applyFill="1" applyBorder="1" applyAlignment="1">
      <alignment horizontal="center" vertical="center" wrapText="1"/>
    </xf>
    <xf numFmtId="176" fontId="2" fillId="2" borderId="2" xfId="19" applyNumberFormat="1" applyFont="1" applyFill="1" applyBorder="1" applyAlignment="1">
      <alignment horizontal="center" vertical="center" wrapText="1"/>
    </xf>
    <xf numFmtId="0" fontId="2" fillId="0" borderId="2" xfId="19" applyFont="1" applyFill="1" applyBorder="1" applyAlignment="1">
      <alignment vertical="center" wrapText="1"/>
    </xf>
    <xf numFmtId="0" fontId="2" fillId="0" borderId="2" xfId="19" applyFont="1" applyBorder="1" applyAlignment="1">
      <alignment vertical="center" wrapText="1"/>
    </xf>
    <xf numFmtId="0" fontId="8" fillId="0" borderId="2" xfId="0" applyFont="1" applyFill="1" applyBorder="1" applyAlignment="1">
      <alignment horizontal="left" vertical="center"/>
    </xf>
    <xf numFmtId="0" fontId="9" fillId="0" borderId="2" xfId="0" applyFont="1" applyFill="1" applyBorder="1" applyAlignment="1">
      <alignment vertical="center"/>
    </xf>
    <xf numFmtId="0" fontId="10" fillId="0" borderId="2" xfId="0" applyFont="1" applyFill="1" applyBorder="1" applyAlignment="1">
      <alignment horizontal="left" vertical="center"/>
    </xf>
    <xf numFmtId="0" fontId="9" fillId="0" borderId="2" xfId="0" applyFont="1" applyFill="1" applyBorder="1" applyAlignment="1">
      <alignment horizontal="left" vertical="center" wrapText="1"/>
    </xf>
    <xf numFmtId="0" fontId="11" fillId="0" borderId="2" xfId="0" applyFont="1" applyFill="1" applyBorder="1" applyAlignment="1">
      <alignment horizontal="left" vertical="center"/>
    </xf>
    <xf numFmtId="0" fontId="12" fillId="0" borderId="2" xfId="0" applyFont="1" applyBorder="1">
      <alignment vertical="center"/>
    </xf>
    <xf numFmtId="0" fontId="6" fillId="0" borderId="2" xfId="0" applyFont="1" applyBorder="1">
      <alignment vertical="center"/>
    </xf>
    <xf numFmtId="0" fontId="13" fillId="0" borderId="2" xfId="0" applyFont="1" applyBorder="1">
      <alignment vertical="center"/>
    </xf>
    <xf numFmtId="0" fontId="14" fillId="0" borderId="0" xfId="19" applyFont="1" applyAlignment="1">
      <alignment horizontal="center" vertical="center" wrapText="1"/>
    </xf>
    <xf numFmtId="0" fontId="1" fillId="0" borderId="2" xfId="19" applyFont="1" applyBorder="1" applyAlignment="1">
      <alignment vertical="center" wrapText="1"/>
    </xf>
    <xf numFmtId="0" fontId="1" fillId="0" borderId="2" xfId="19" applyFont="1" applyFill="1" applyBorder="1" applyAlignment="1">
      <alignment vertical="center" wrapText="1"/>
    </xf>
    <xf numFmtId="0" fontId="1" fillId="0" borderId="2" xfId="0" applyNumberFormat="1" applyFont="1" applyFill="1" applyBorder="1" applyAlignment="1" applyProtection="1">
      <alignment vertical="center" wrapText="1"/>
    </xf>
    <xf numFmtId="0" fontId="2" fillId="2" borderId="2" xfId="19" applyFont="1" applyFill="1" applyBorder="1" applyAlignment="1">
      <alignment vertical="center" wrapText="1"/>
    </xf>
    <xf numFmtId="0" fontId="1" fillId="2" borderId="2" xfId="19" applyFont="1" applyFill="1" applyBorder="1" applyAlignment="1">
      <alignment vertical="center" wrapText="1"/>
    </xf>
    <xf numFmtId="0" fontId="15" fillId="0" borderId="1" xfId="0" applyFont="1" applyBorder="1" applyAlignment="1">
      <alignment horizontal="center" vertical="center"/>
    </xf>
    <xf numFmtId="176" fontId="2" fillId="0" borderId="0" xfId="19" applyNumberFormat="1" applyFont="1" applyBorder="1" applyAlignment="1">
      <alignment horizontal="center" vertical="center" wrapText="1"/>
    </xf>
    <xf numFmtId="0" fontId="16" fillId="0" borderId="0" xfId="0" applyFont="1">
      <alignment vertical="center"/>
    </xf>
    <xf numFmtId="0" fontId="7" fillId="0" borderId="0" xfId="0" applyFont="1" applyFill="1" applyAlignment="1">
      <alignment vertical="center" wrapText="1"/>
    </xf>
    <xf numFmtId="0" fontId="7" fillId="2" borderId="2" xfId="0" applyFont="1" applyFill="1" applyBorder="1" applyAlignment="1">
      <alignment vertical="center" wrapText="1"/>
    </xf>
    <xf numFmtId="58" fontId="7" fillId="0" borderId="3" xfId="0" applyNumberFormat="1" applyFont="1" applyFill="1" applyBorder="1" applyAlignment="1">
      <alignment vertical="center" wrapText="1"/>
    </xf>
    <xf numFmtId="0" fontId="3" fillId="0" borderId="2" xfId="0" applyNumberFormat="1" applyFont="1" applyFill="1" applyBorder="1" applyAlignment="1" applyProtection="1">
      <alignment vertical="center" wrapText="1"/>
    </xf>
    <xf numFmtId="58" fontId="7" fillId="0" borderId="2" xfId="0" applyNumberFormat="1" applyFont="1" applyFill="1" applyBorder="1" applyAlignment="1">
      <alignment vertical="center" wrapText="1"/>
    </xf>
    <xf numFmtId="0" fontId="3" fillId="2" borderId="2" xfId="0" applyNumberFormat="1" applyFont="1" applyFill="1" applyBorder="1" applyAlignment="1" applyProtection="1">
      <alignment vertical="center" wrapText="1"/>
    </xf>
    <xf numFmtId="0" fontId="13" fillId="3" borderId="2" xfId="19" applyFont="1" applyFill="1" applyBorder="1" applyAlignment="1">
      <alignment horizontal="center" vertical="center" wrapText="1"/>
    </xf>
    <xf numFmtId="176" fontId="13" fillId="3" borderId="2" xfId="19" applyNumberFormat="1" applyFont="1" applyFill="1" applyBorder="1" applyAlignment="1">
      <alignment horizontal="center" vertical="center" wrapText="1"/>
    </xf>
    <xf numFmtId="0" fontId="3" fillId="0" borderId="2" xfId="19" applyFont="1" applyBorder="1" applyAlignment="1">
      <alignment vertical="center" wrapText="1"/>
    </xf>
    <xf numFmtId="176" fontId="1" fillId="0" borderId="0" xfId="19" applyNumberFormat="1" applyFont="1" applyAlignment="1">
      <alignment horizontal="center" vertical="center" wrapText="1"/>
    </xf>
    <xf numFmtId="0" fontId="7" fillId="0" borderId="4" xfId="0" applyFont="1" applyFill="1" applyBorder="1" applyAlignment="1">
      <alignment vertical="center" wrapText="1"/>
    </xf>
    <xf numFmtId="0" fontId="2" fillId="0" borderId="0" xfId="19" applyFont="1" applyAlignment="1">
      <alignment vertical="center" wrapText="1"/>
    </xf>
    <xf numFmtId="176" fontId="1" fillId="0" borderId="2" xfId="19" applyNumberFormat="1" applyFont="1" applyBorder="1" applyAlignment="1">
      <alignment horizontal="center" vertical="center" wrapText="1"/>
    </xf>
    <xf numFmtId="0" fontId="3" fillId="0" borderId="2" xfId="19" applyFont="1" applyFill="1" applyBorder="1" applyAlignment="1">
      <alignment vertical="center" wrapText="1"/>
    </xf>
    <xf numFmtId="0" fontId="7" fillId="0" borderId="3" xfId="0" applyFont="1" applyFill="1" applyBorder="1" applyAlignment="1">
      <alignment vertical="center" wrapText="1"/>
    </xf>
    <xf numFmtId="176" fontId="2" fillId="0" borderId="3" xfId="19" applyNumberFormat="1" applyFont="1" applyBorder="1" applyAlignment="1">
      <alignment horizontal="center" vertical="center" wrapText="1"/>
    </xf>
    <xf numFmtId="176" fontId="3" fillId="0" borderId="2" xfId="19" applyNumberFormat="1" applyFont="1" applyBorder="1" applyAlignment="1">
      <alignment horizontal="center" vertical="center" wrapText="1"/>
    </xf>
    <xf numFmtId="58" fontId="2" fillId="0" borderId="2" xfId="19" applyNumberFormat="1" applyFont="1" applyBorder="1" applyAlignment="1">
      <alignment vertical="center" wrapText="1"/>
    </xf>
    <xf numFmtId="0" fontId="17" fillId="4" borderId="5" xfId="0" applyFont="1" applyFill="1" applyBorder="1" applyAlignment="1">
      <alignment horizontal="center" vertical="center"/>
    </xf>
    <xf numFmtId="0" fontId="17" fillId="4" borderId="6" xfId="0" applyFont="1" applyFill="1" applyBorder="1" applyAlignment="1">
      <alignment horizontal="center" vertical="center"/>
    </xf>
    <xf numFmtId="0" fontId="17" fillId="4" borderId="7" xfId="0" applyFont="1" applyFill="1" applyBorder="1" applyAlignment="1">
      <alignment horizontal="center" vertical="center"/>
    </xf>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17" fillId="0" borderId="0" xfId="0" applyFont="1">
      <alignment vertical="center"/>
    </xf>
    <xf numFmtId="0" fontId="18" fillId="0" borderId="13" xfId="0" applyFont="1" applyBorder="1" applyAlignment="1">
      <alignment horizontal="center"/>
    </xf>
    <xf numFmtId="0" fontId="17" fillId="5" borderId="5" xfId="0" applyFont="1" applyFill="1" applyBorder="1" applyAlignment="1">
      <alignment horizontal="center" vertical="center"/>
    </xf>
    <xf numFmtId="0" fontId="17" fillId="5" borderId="6" xfId="0" applyFont="1" applyFill="1" applyBorder="1" applyAlignment="1">
      <alignment horizontal="center" vertical="center"/>
    </xf>
    <xf numFmtId="0" fontId="17" fillId="5" borderId="7" xfId="0" applyFont="1" applyFill="1" applyBorder="1" applyAlignment="1">
      <alignment horizontal="center" vertical="center"/>
    </xf>
    <xf numFmtId="0" fontId="17" fillId="0" borderId="11" xfId="0" applyFont="1" applyBorder="1" applyAlignment="1">
      <alignment horizontal="center"/>
    </xf>
    <xf numFmtId="0" fontId="17" fillId="0" borderId="12" xfId="0" applyFont="1" applyBorder="1" applyAlignment="1">
      <alignment horizontal="center"/>
    </xf>
    <xf numFmtId="0" fontId="17" fillId="0" borderId="13" xfId="0" applyFont="1" applyBorder="1" applyAlignment="1">
      <alignment horizontal="center"/>
    </xf>
    <xf numFmtId="0" fontId="17" fillId="4" borderId="14" xfId="0" applyFont="1" applyFill="1" applyBorder="1" applyAlignment="1">
      <alignment horizontal="center" vertical="center"/>
    </xf>
    <xf numFmtId="0" fontId="17" fillId="0" borderId="15" xfId="0" applyFont="1" applyBorder="1" applyAlignment="1">
      <alignment horizontal="center"/>
    </xf>
    <xf numFmtId="0" fontId="18" fillId="0" borderId="16" xfId="0" applyFont="1" applyBorder="1" applyAlignment="1">
      <alignment horizontal="center"/>
    </xf>
    <xf numFmtId="0" fontId="17" fillId="5" borderId="14" xfId="0" applyFont="1" applyFill="1" applyBorder="1" applyAlignment="1">
      <alignment horizontal="center" vertical="center"/>
    </xf>
    <xf numFmtId="0" fontId="17" fillId="0" borderId="16" xfId="0" applyFont="1" applyBorder="1" applyAlignment="1">
      <alignment horizontal="center"/>
    </xf>
    <xf numFmtId="0" fontId="17" fillId="4" borderId="6" xfId="0" applyFont="1" applyFill="1" applyBorder="1" applyAlignment="1" quotePrefix="1">
      <alignment horizontal="center" vertical="center"/>
    </xf>
    <xf numFmtId="0" fontId="17" fillId="0" borderId="9" xfId="0" applyFont="1" applyBorder="1" applyAlignment="1" quotePrefix="1">
      <alignment horizontal="center"/>
    </xf>
    <xf numFmtId="0" fontId="17" fillId="5" borderId="6" xfId="0" applyFont="1" applyFill="1" applyBorder="1" applyAlignment="1" quotePrefix="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_未清问题清单_V1"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5">
    <dxf>
      <fill>
        <patternFill patternType="solid">
          <bgColor indexed="5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3"/>
        </patternFill>
      </fill>
    </dxf>
  </dxfs>
  <tableStyles count="0" defaultTableStyle="TableStyleMedium9" defaultPivotStyle="PivotStyleLight16"/>
  <colors>
    <mruColors>
      <color rgb="00333333"/>
      <color rgb="00FFCC00"/>
      <color rgb="0000FF00"/>
      <color rgb="00333399"/>
      <color rgb="00FF9900"/>
      <color rgb="000000FF"/>
      <color rgb="00CCFFCC"/>
      <color rgb="00000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tabSelected="1" workbookViewId="0">
      <selection activeCell="K15" sqref="K15"/>
    </sheetView>
  </sheetViews>
  <sheetFormatPr defaultColWidth="8.66666666666667" defaultRowHeight="15"/>
  <cols>
    <col min="1" max="1" width="13"/>
    <col min="3" max="5" width="7.08333333333333"/>
    <col min="6" max="6" width="9.16666666666667"/>
    <col min="7" max="10" width="5.25"/>
  </cols>
  <sheetData>
    <row r="1" ht="18" customHeight="1" spans="1:10">
      <c r="A1" s="63" t="s">
        <v>0</v>
      </c>
      <c r="B1" s="64" t="s">
        <v>1</v>
      </c>
      <c r="C1" s="64" t="s">
        <v>2</v>
      </c>
      <c r="D1" s="64" t="s">
        <v>3</v>
      </c>
      <c r="E1" s="64" t="s">
        <v>4</v>
      </c>
      <c r="F1" s="64" t="s">
        <v>5</v>
      </c>
      <c r="G1" s="65" t="s">
        <v>6</v>
      </c>
      <c r="H1" s="64" t="s">
        <v>7</v>
      </c>
      <c r="I1" s="64" t="s">
        <v>8</v>
      </c>
      <c r="J1" s="79" t="s">
        <v>9</v>
      </c>
    </row>
    <row r="2" ht="18" customHeight="1" spans="1:10">
      <c r="A2" s="66" t="s">
        <v>10</v>
      </c>
      <c r="B2" s="67">
        <f>COUNTIF(前台,"管理")</f>
        <v>0</v>
      </c>
      <c r="C2" s="67">
        <f>COUNTIF(前台,"需求")</f>
        <v>4</v>
      </c>
      <c r="D2" s="67">
        <f>COUNTIF(前台,"方案")</f>
        <v>0</v>
      </c>
      <c r="E2" s="67">
        <f>COUNTIF(前台,"配置")</f>
        <v>0</v>
      </c>
      <c r="F2" s="67">
        <f>COUNTIF(前台,"开发")</f>
        <v>0</v>
      </c>
      <c r="G2" s="67">
        <f>COUNTIF(前台,"数据")</f>
        <v>0</v>
      </c>
      <c r="H2" s="67">
        <f>COUNTIF(前台,"系统")</f>
        <v>0</v>
      </c>
      <c r="I2" s="67">
        <f>COUNTIF(前台,"其他")</f>
        <v>0</v>
      </c>
      <c r="J2" s="80">
        <f t="shared" ref="J2:J6" si="0">SUM(B2:I2)</f>
        <v>4</v>
      </c>
    </row>
    <row r="3" ht="18" customHeight="1" spans="1:10">
      <c r="A3" s="66" t="s">
        <v>11</v>
      </c>
      <c r="B3" s="67">
        <f>COUNTIF(中台,"管理")</f>
        <v>0</v>
      </c>
      <c r="C3" s="67">
        <f>COUNTIF(中台,"需求")</f>
        <v>24</v>
      </c>
      <c r="D3" s="67">
        <f>COUNTIF(中台,"方案")</f>
        <v>0</v>
      </c>
      <c r="E3" s="67">
        <f>COUNTIF(中台,"配置")</f>
        <v>0</v>
      </c>
      <c r="F3" s="67">
        <f>COUNTIF(中台,"开发")</f>
        <v>0</v>
      </c>
      <c r="G3" s="67">
        <f>COUNTIF(中台,"数据")</f>
        <v>0</v>
      </c>
      <c r="H3" s="67">
        <f>COUNTIF(中台,"系统")</f>
        <v>0</v>
      </c>
      <c r="I3" s="67">
        <f>COUNTIF(中台,"其他")</f>
        <v>1</v>
      </c>
      <c r="J3" s="80">
        <f t="shared" si="0"/>
        <v>25</v>
      </c>
    </row>
    <row r="4" ht="18" customHeight="1" spans="1:10">
      <c r="A4" s="66" t="s">
        <v>12</v>
      </c>
      <c r="B4" s="67">
        <f>COUNTIF(后台,"管理")</f>
        <v>0</v>
      </c>
      <c r="C4" s="67">
        <f>COUNTIF(后台,"需求")</f>
        <v>4</v>
      </c>
      <c r="D4" s="67">
        <f>COUNTIF(后台,"方案")</f>
        <v>0</v>
      </c>
      <c r="E4" s="67">
        <f>COUNTIF(后台,"配置")</f>
        <v>1</v>
      </c>
      <c r="F4" s="67">
        <f>COUNTIF(后台,"开发")</f>
        <v>0</v>
      </c>
      <c r="G4" s="67">
        <f>COUNTIF(后台,"数据")</f>
        <v>0</v>
      </c>
      <c r="H4" s="67">
        <f>COUNTIF(后台,"系统")</f>
        <v>0</v>
      </c>
      <c r="I4" s="67">
        <f>COUNTIF(后台,"其他")</f>
        <v>0</v>
      </c>
      <c r="J4" s="80">
        <f t="shared" si="0"/>
        <v>5</v>
      </c>
    </row>
    <row r="5" ht="18" customHeight="1" spans="1:10">
      <c r="A5" s="66" t="s">
        <v>13</v>
      </c>
      <c r="B5" s="67">
        <f>COUNTIF(外围,"管理")</f>
        <v>0</v>
      </c>
      <c r="C5" s="67">
        <f>COUNTIF(外围,"需求")</f>
        <v>3</v>
      </c>
      <c r="D5" s="67">
        <f>COUNTIF(外围,"方案")</f>
        <v>3</v>
      </c>
      <c r="E5" s="67">
        <f>COUNTIF(外围,"配置")</f>
        <v>1</v>
      </c>
      <c r="F5" s="67">
        <f>COUNTIF(外围,"开发")</f>
        <v>0</v>
      </c>
      <c r="G5" s="67">
        <f>COUNTIF(外围,"数据")</f>
        <v>0</v>
      </c>
      <c r="H5" s="67">
        <f>COUNTIF(外围,"系统")</f>
        <v>6</v>
      </c>
      <c r="I5" s="67">
        <f>COUNTIF(外围,"其他")</f>
        <v>0</v>
      </c>
      <c r="J5" s="80">
        <f t="shared" si="0"/>
        <v>13</v>
      </c>
    </row>
    <row r="6" ht="18" customHeight="1" spans="1:10">
      <c r="A6" s="68" t="s">
        <v>14</v>
      </c>
      <c r="B6" s="67">
        <f>COUNTIF(外围,"管理")</f>
        <v>0</v>
      </c>
      <c r="C6" s="67">
        <v>0</v>
      </c>
      <c r="D6" s="67">
        <v>0</v>
      </c>
      <c r="E6" s="67">
        <v>0</v>
      </c>
      <c r="F6" s="67">
        <v>0</v>
      </c>
      <c r="G6" s="67">
        <v>0</v>
      </c>
      <c r="H6" s="67">
        <v>0</v>
      </c>
      <c r="I6" s="67">
        <v>1</v>
      </c>
      <c r="J6" s="80">
        <f t="shared" si="0"/>
        <v>1</v>
      </c>
    </row>
    <row r="7" ht="18" customHeight="1" spans="1:10">
      <c r="A7" s="68" t="s">
        <v>15</v>
      </c>
      <c r="B7" s="67">
        <f>COUNTIF(风险,"管理")</f>
        <v>4</v>
      </c>
      <c r="C7" s="67">
        <f>COUNTIF(风险,"需求")</f>
        <v>1</v>
      </c>
      <c r="D7" s="67">
        <f>COUNTIF(风险,"方案")</f>
        <v>0</v>
      </c>
      <c r="E7" s="67">
        <f>COUNTIF(风险,"配置")</f>
        <v>0</v>
      </c>
      <c r="F7" s="67">
        <f>COUNTIF(风险,"开发")</f>
        <v>1</v>
      </c>
      <c r="G7" s="67">
        <f>COUNTIF(风险,"数据")</f>
        <v>1</v>
      </c>
      <c r="H7" s="67">
        <f>COUNTIF(风险,"系统")</f>
        <v>1</v>
      </c>
      <c r="I7" s="67">
        <f>COUNTIF(风险,"其他")</f>
        <v>1</v>
      </c>
      <c r="J7" s="80">
        <f>SUM(B7:I7)</f>
        <v>9</v>
      </c>
    </row>
    <row r="8" ht="18" customHeight="1" spans="1:10">
      <c r="A8" s="69" t="s">
        <v>9</v>
      </c>
      <c r="B8" s="70">
        <f>SUM(B2:B7)</f>
        <v>4</v>
      </c>
      <c r="C8" s="70">
        <f t="shared" ref="C8:J8" si="1">SUM(C2:C7)</f>
        <v>36</v>
      </c>
      <c r="D8" s="70">
        <f t="shared" si="1"/>
        <v>3</v>
      </c>
      <c r="E8" s="70">
        <f t="shared" si="1"/>
        <v>2</v>
      </c>
      <c r="F8" s="70">
        <f t="shared" si="1"/>
        <v>1</v>
      </c>
      <c r="G8" s="70">
        <f t="shared" si="1"/>
        <v>1</v>
      </c>
      <c r="H8" s="70">
        <f t="shared" si="1"/>
        <v>7</v>
      </c>
      <c r="I8" s="70">
        <f t="shared" si="1"/>
        <v>3</v>
      </c>
      <c r="J8" s="81">
        <f t="shared" si="1"/>
        <v>57</v>
      </c>
    </row>
    <row r="9" ht="18" customHeight="1" spans="1:10">
      <c r="A9" s="71"/>
      <c r="B9" s="71"/>
      <c r="C9" s="71"/>
      <c r="D9" s="71"/>
      <c r="E9" s="71"/>
      <c r="F9" s="71"/>
      <c r="G9" s="71"/>
      <c r="H9" s="71"/>
      <c r="I9" s="71"/>
      <c r="J9" s="71"/>
    </row>
    <row r="10" ht="18" customHeight="1" spans="1:10">
      <c r="A10" s="63" t="s">
        <v>16</v>
      </c>
      <c r="B10" s="64" t="s">
        <v>17</v>
      </c>
      <c r="C10" s="64" t="s">
        <v>18</v>
      </c>
      <c r="D10" s="64" t="s">
        <v>19</v>
      </c>
      <c r="E10" s="64" t="s">
        <v>20</v>
      </c>
      <c r="F10" s="64" t="s">
        <v>21</v>
      </c>
      <c r="G10" s="84" t="s">
        <v>22</v>
      </c>
      <c r="H10" s="84" t="s">
        <v>22</v>
      </c>
      <c r="I10" s="84" t="s">
        <v>22</v>
      </c>
      <c r="J10" s="79" t="s">
        <v>9</v>
      </c>
    </row>
    <row r="11" ht="18" customHeight="1" spans="1:10">
      <c r="A11" s="66" t="s">
        <v>10</v>
      </c>
      <c r="B11" s="67">
        <f>COUNTIF(前台2,"未开始")</f>
        <v>0</v>
      </c>
      <c r="C11" s="67">
        <f>COUNTIF(前台2,"已分配")</f>
        <v>0</v>
      </c>
      <c r="D11" s="67">
        <f>COUNTIF(前台2,"解决中")</f>
        <v>2</v>
      </c>
      <c r="E11" s="67">
        <f>COUNTIF(前台2,"已解决")</f>
        <v>2</v>
      </c>
      <c r="F11" s="67">
        <f>COUNTIF(前台2,"已取消")</f>
        <v>0</v>
      </c>
      <c r="G11" s="85" t="s">
        <v>22</v>
      </c>
      <c r="H11" s="85" t="s">
        <v>22</v>
      </c>
      <c r="I11" s="85" t="s">
        <v>22</v>
      </c>
      <c r="J11" s="80">
        <f t="shared" ref="J11:J15" si="2">SUM(B11:I11)</f>
        <v>4</v>
      </c>
    </row>
    <row r="12" ht="18" customHeight="1" spans="1:10">
      <c r="A12" s="66" t="s">
        <v>11</v>
      </c>
      <c r="B12" s="67">
        <f>COUNTIF(中台2,"未开始")</f>
        <v>1</v>
      </c>
      <c r="C12" s="67">
        <f>COUNTIF(中台2,"已分配")</f>
        <v>0</v>
      </c>
      <c r="D12" s="67">
        <f>COUNTIF(中台2,"解决中")</f>
        <v>3</v>
      </c>
      <c r="E12" s="67">
        <f>COUNTIF(中台2,"已解决")</f>
        <v>16</v>
      </c>
      <c r="F12" s="67">
        <f>COUNTIF(中台2,"已取消")</f>
        <v>5</v>
      </c>
      <c r="G12" s="85" t="s">
        <v>22</v>
      </c>
      <c r="H12" s="85" t="s">
        <v>22</v>
      </c>
      <c r="I12" s="85" t="s">
        <v>22</v>
      </c>
      <c r="J12" s="80">
        <f t="shared" si="2"/>
        <v>25</v>
      </c>
    </row>
    <row r="13" ht="18" customHeight="1" spans="1:10">
      <c r="A13" s="66" t="s">
        <v>12</v>
      </c>
      <c r="B13" s="67">
        <f>COUNTIF(后台2,"未开始")</f>
        <v>0</v>
      </c>
      <c r="C13" s="67">
        <f>COUNTIF(后台2,"已分配")</f>
        <v>1</v>
      </c>
      <c r="D13" s="67">
        <f>COUNTIF(后台2,"解决中")</f>
        <v>2</v>
      </c>
      <c r="E13" s="67">
        <f>COUNTIF(后台2,"已解决")</f>
        <v>2</v>
      </c>
      <c r="F13" s="67">
        <f>COUNTIF(后台2,"已取消")</f>
        <v>0</v>
      </c>
      <c r="G13" s="85" t="s">
        <v>22</v>
      </c>
      <c r="H13" s="85" t="s">
        <v>22</v>
      </c>
      <c r="I13" s="85" t="s">
        <v>22</v>
      </c>
      <c r="J13" s="80">
        <f t="shared" si="2"/>
        <v>5</v>
      </c>
    </row>
    <row r="14" ht="18" customHeight="1" spans="1:10">
      <c r="A14" s="66" t="s">
        <v>13</v>
      </c>
      <c r="B14" s="67">
        <f>COUNTIF(外围2,"未开始")</f>
        <v>1</v>
      </c>
      <c r="C14" s="67">
        <f>COUNTIF(外围2,"已分配")</f>
        <v>0</v>
      </c>
      <c r="D14" s="67">
        <f>COUNTIF(外围2,"解决中")</f>
        <v>2</v>
      </c>
      <c r="E14" s="67">
        <f>COUNTIF(外围2,"已解决")</f>
        <v>9</v>
      </c>
      <c r="F14" s="67">
        <f>COUNTIF(外围2,"已取消")</f>
        <v>1</v>
      </c>
      <c r="G14" s="85" t="s">
        <v>22</v>
      </c>
      <c r="H14" s="85" t="s">
        <v>22</v>
      </c>
      <c r="I14" s="85" t="s">
        <v>22</v>
      </c>
      <c r="J14" s="80">
        <f t="shared" si="2"/>
        <v>13</v>
      </c>
    </row>
    <row r="15" ht="18" customHeight="1" spans="1:10">
      <c r="A15" s="68" t="s">
        <v>14</v>
      </c>
      <c r="B15" s="67">
        <v>0</v>
      </c>
      <c r="C15" s="67">
        <f>COUNTIF(外围2,"已分配")</f>
        <v>0</v>
      </c>
      <c r="D15" s="67">
        <v>0</v>
      </c>
      <c r="E15" s="67">
        <v>1</v>
      </c>
      <c r="F15" s="67">
        <v>0</v>
      </c>
      <c r="G15" s="85" t="s">
        <v>22</v>
      </c>
      <c r="H15" s="85" t="s">
        <v>22</v>
      </c>
      <c r="I15" s="85" t="s">
        <v>22</v>
      </c>
      <c r="J15" s="80">
        <f t="shared" si="2"/>
        <v>1</v>
      </c>
    </row>
    <row r="16" ht="18" customHeight="1" spans="1:10">
      <c r="A16" s="68" t="s">
        <v>15</v>
      </c>
      <c r="B16" s="67">
        <f>COUNTIF(风险2,"未开始")</f>
        <v>1</v>
      </c>
      <c r="C16" s="67">
        <f>COUNTIF(风险2,"已分配")</f>
        <v>0</v>
      </c>
      <c r="D16" s="67">
        <f>COUNTIF(风险2,"解决中")</f>
        <v>2</v>
      </c>
      <c r="E16" s="67">
        <f>COUNTIF(风险2,"已解决")</f>
        <v>6</v>
      </c>
      <c r="F16" s="67">
        <f>COUNTIF(风险2,"已取消")</f>
        <v>0</v>
      </c>
      <c r="G16" s="85" t="s">
        <v>22</v>
      </c>
      <c r="H16" s="85" t="s">
        <v>22</v>
      </c>
      <c r="I16" s="85" t="s">
        <v>22</v>
      </c>
      <c r="J16" s="80">
        <f>SUM(B16:I16)</f>
        <v>9</v>
      </c>
    </row>
    <row r="17" ht="18" customHeight="1" spans="1:10">
      <c r="A17" s="69" t="s">
        <v>9</v>
      </c>
      <c r="B17" s="72">
        <f>SUM(B11:B16)</f>
        <v>3</v>
      </c>
      <c r="C17" s="72">
        <f t="shared" ref="C17:J17" si="3">SUM(C11:C16)</f>
        <v>1</v>
      </c>
      <c r="D17" s="72">
        <f t="shared" si="3"/>
        <v>11</v>
      </c>
      <c r="E17" s="72">
        <f t="shared" si="3"/>
        <v>36</v>
      </c>
      <c r="F17" s="72">
        <f t="shared" si="3"/>
        <v>6</v>
      </c>
      <c r="G17" s="72">
        <f t="shared" si="3"/>
        <v>0</v>
      </c>
      <c r="H17" s="72">
        <f t="shared" si="3"/>
        <v>0</v>
      </c>
      <c r="I17" s="72">
        <f t="shared" si="3"/>
        <v>0</v>
      </c>
      <c r="J17" s="72">
        <f t="shared" si="3"/>
        <v>57</v>
      </c>
    </row>
    <row r="18" ht="12" customHeight="1" spans="1:10">
      <c r="A18" s="71"/>
      <c r="B18" s="71"/>
      <c r="C18" s="71"/>
      <c r="D18" s="71"/>
      <c r="E18" s="71"/>
      <c r="F18" s="71"/>
      <c r="G18" s="71"/>
      <c r="H18" s="71"/>
      <c r="I18" s="71"/>
      <c r="J18" s="71"/>
    </row>
    <row r="19" ht="18" customHeight="1" spans="1:10">
      <c r="A19" s="73" t="s">
        <v>23</v>
      </c>
      <c r="B19" s="74" t="s">
        <v>1</v>
      </c>
      <c r="C19" s="74" t="s">
        <v>2</v>
      </c>
      <c r="D19" s="74" t="s">
        <v>3</v>
      </c>
      <c r="E19" s="74" t="s">
        <v>4</v>
      </c>
      <c r="F19" s="74" t="s">
        <v>5</v>
      </c>
      <c r="G19" s="75" t="s">
        <v>6</v>
      </c>
      <c r="H19" s="74" t="s">
        <v>7</v>
      </c>
      <c r="I19" s="74" t="s">
        <v>8</v>
      </c>
      <c r="J19" s="82" t="s">
        <v>9</v>
      </c>
    </row>
    <row r="20" ht="18" customHeight="1" spans="1:10">
      <c r="A20" s="76" t="s">
        <v>9</v>
      </c>
      <c r="B20" s="77">
        <f t="shared" ref="B20:J20" si="4">B8</f>
        <v>4</v>
      </c>
      <c r="C20" s="77">
        <f t="shared" si="4"/>
        <v>36</v>
      </c>
      <c r="D20" s="77">
        <f t="shared" si="4"/>
        <v>3</v>
      </c>
      <c r="E20" s="77">
        <f t="shared" si="4"/>
        <v>2</v>
      </c>
      <c r="F20" s="77">
        <f t="shared" si="4"/>
        <v>1</v>
      </c>
      <c r="G20" s="77">
        <f t="shared" si="4"/>
        <v>1</v>
      </c>
      <c r="H20" s="77">
        <f t="shared" si="4"/>
        <v>7</v>
      </c>
      <c r="I20" s="77">
        <f t="shared" si="4"/>
        <v>3</v>
      </c>
      <c r="J20" s="83">
        <f t="shared" si="4"/>
        <v>57</v>
      </c>
    </row>
    <row r="21" ht="12" customHeight="1" spans="1:10">
      <c r="A21" s="71"/>
      <c r="B21" s="71"/>
      <c r="C21" s="71"/>
      <c r="D21" s="71"/>
      <c r="E21" s="71"/>
      <c r="F21" s="71"/>
      <c r="G21" s="71"/>
      <c r="H21" s="71"/>
      <c r="I21" s="71"/>
      <c r="J21" s="71"/>
    </row>
    <row r="22" ht="18" customHeight="1" spans="1:10">
      <c r="A22" s="73" t="s">
        <v>24</v>
      </c>
      <c r="B22" s="74" t="s">
        <v>17</v>
      </c>
      <c r="C22" s="74" t="s">
        <v>18</v>
      </c>
      <c r="D22" s="74" t="s">
        <v>19</v>
      </c>
      <c r="E22" s="74" t="s">
        <v>20</v>
      </c>
      <c r="F22" s="74" t="s">
        <v>21</v>
      </c>
      <c r="G22" s="86" t="s">
        <v>22</v>
      </c>
      <c r="H22" s="86" t="s">
        <v>22</v>
      </c>
      <c r="I22" s="86" t="s">
        <v>22</v>
      </c>
      <c r="J22" s="82" t="s">
        <v>9</v>
      </c>
    </row>
    <row r="23" ht="18" customHeight="1" spans="1:10">
      <c r="A23" s="76" t="s">
        <v>9</v>
      </c>
      <c r="B23" s="78">
        <f>B17</f>
        <v>3</v>
      </c>
      <c r="C23" s="78">
        <f>C17</f>
        <v>1</v>
      </c>
      <c r="D23" s="78">
        <f>D17</f>
        <v>11</v>
      </c>
      <c r="E23" s="78">
        <f>E17</f>
        <v>36</v>
      </c>
      <c r="F23" s="78">
        <f>F17</f>
        <v>6</v>
      </c>
      <c r="G23" s="78"/>
      <c r="H23" s="78"/>
      <c r="I23" s="78"/>
      <c r="J23" s="83">
        <f>J17</f>
        <v>57</v>
      </c>
    </row>
    <row r="24" ht="15.75"/>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6"/>
  <sheetViews>
    <sheetView workbookViewId="0">
      <pane xSplit="2" ySplit="2" topLeftCell="F3" activePane="bottomRight" state="frozen"/>
      <selection/>
      <selection pane="topRight"/>
      <selection pane="bottomLeft"/>
      <selection pane="bottomRight" activeCell="G10" sqref="G10"/>
    </sheetView>
  </sheetViews>
  <sheetFormatPr defaultColWidth="8" defaultRowHeight="21" customHeight="1"/>
  <cols>
    <col min="1" max="1" width="4.08333333333333" style="8" customWidth="1"/>
    <col min="2" max="2" width="34.5833333333333" style="6" customWidth="1"/>
    <col min="3" max="3" width="5.08333333333333" style="8" customWidth="1"/>
    <col min="4" max="4" width="8.58333333333333" style="8" customWidth="1"/>
    <col min="5" max="6" width="8.75" style="9" customWidth="1"/>
    <col min="7" max="7" width="6.75" style="8" customWidth="1"/>
    <col min="8" max="8" width="7.75" style="8" customWidth="1"/>
    <col min="9" max="9" width="6.83333333333333" style="8" customWidth="1"/>
    <col min="10" max="10" width="31.75" style="6" customWidth="1"/>
    <col min="11" max="11" width="7.58333333333333" style="8" customWidth="1"/>
    <col min="12" max="12" width="8.75" style="9" customWidth="1"/>
    <col min="13" max="14" width="16.5" style="9" customWidth="1"/>
    <col min="15" max="15" width="26.25" style="6" customWidth="1"/>
    <col min="16" max="16384" width="8" style="6"/>
  </cols>
  <sheetData>
    <row r="1" ht="31.5" customHeight="1" spans="1:15">
      <c r="A1" s="10" t="s">
        <v>25</v>
      </c>
      <c r="B1" s="10"/>
      <c r="C1" s="10"/>
      <c r="D1" s="10"/>
      <c r="E1" s="10"/>
      <c r="F1" s="10"/>
      <c r="G1" s="10"/>
      <c r="H1" s="10"/>
      <c r="I1" s="10"/>
      <c r="J1" s="10"/>
      <c r="K1" s="10"/>
      <c r="L1" s="10"/>
      <c r="M1" s="10"/>
      <c r="N1" s="10"/>
      <c r="O1" s="10"/>
    </row>
    <row r="2" s="4" customFormat="1" ht="26.25" customHeight="1" spans="1:15">
      <c r="A2" s="11" t="s">
        <v>26</v>
      </c>
      <c r="B2" s="11" t="s">
        <v>27</v>
      </c>
      <c r="C2" s="11" t="s">
        <v>28</v>
      </c>
      <c r="D2" s="11" t="s">
        <v>29</v>
      </c>
      <c r="E2" s="12" t="s">
        <v>30</v>
      </c>
      <c r="F2" s="12" t="s">
        <v>31</v>
      </c>
      <c r="G2" s="11" t="s">
        <v>32</v>
      </c>
      <c r="H2" s="11" t="s">
        <v>33</v>
      </c>
      <c r="I2" s="11" t="s">
        <v>34</v>
      </c>
      <c r="J2" s="11" t="s">
        <v>35</v>
      </c>
      <c r="K2" s="11" t="s">
        <v>36</v>
      </c>
      <c r="L2" s="12" t="s">
        <v>37</v>
      </c>
      <c r="M2" s="12" t="s">
        <v>38</v>
      </c>
      <c r="N2" s="12" t="s">
        <v>39</v>
      </c>
      <c r="O2" s="11" t="s">
        <v>40</v>
      </c>
    </row>
    <row r="3" ht="28" customHeight="1" spans="1:15">
      <c r="A3" s="13">
        <v>1</v>
      </c>
      <c r="B3" s="14" t="s">
        <v>41</v>
      </c>
      <c r="C3" s="15" t="s">
        <v>2</v>
      </c>
      <c r="D3" s="15" t="s">
        <v>42</v>
      </c>
      <c r="E3" s="16">
        <v>43252</v>
      </c>
      <c r="F3" s="16">
        <v>43262</v>
      </c>
      <c r="G3" s="15" t="s">
        <v>43</v>
      </c>
      <c r="H3" s="15" t="s">
        <v>44</v>
      </c>
      <c r="I3" s="15" t="s">
        <v>45</v>
      </c>
      <c r="J3" s="27" t="s">
        <v>46</v>
      </c>
      <c r="K3" s="15" t="s">
        <v>20</v>
      </c>
      <c r="L3" s="16">
        <v>43273</v>
      </c>
      <c r="M3" s="16"/>
      <c r="N3" s="16"/>
      <c r="O3" s="37"/>
    </row>
    <row r="4" ht="36" customHeight="1" spans="1:15">
      <c r="A4" s="13">
        <f>MAX($A$3:A3)+1</f>
        <v>2</v>
      </c>
      <c r="B4" s="14" t="s">
        <v>47</v>
      </c>
      <c r="C4" s="15" t="s">
        <v>2</v>
      </c>
      <c r="D4" s="15" t="s">
        <v>48</v>
      </c>
      <c r="E4" s="16">
        <v>43251</v>
      </c>
      <c r="F4" s="16">
        <v>43262</v>
      </c>
      <c r="G4" s="15" t="s">
        <v>49</v>
      </c>
      <c r="H4" s="15" t="s">
        <v>50</v>
      </c>
      <c r="I4" s="15" t="s">
        <v>51</v>
      </c>
      <c r="J4" s="27" t="s">
        <v>52</v>
      </c>
      <c r="K4" s="15" t="s">
        <v>19</v>
      </c>
      <c r="L4" s="16"/>
      <c r="N4" s="16" t="s">
        <v>53</v>
      </c>
      <c r="O4" s="53" t="s">
        <v>54</v>
      </c>
    </row>
    <row r="5" ht="26" customHeight="1" spans="1:15">
      <c r="A5" s="13">
        <f>MAX($A$3:A4)+1</f>
        <v>3</v>
      </c>
      <c r="B5" s="27" t="s">
        <v>55</v>
      </c>
      <c r="C5" s="15" t="s">
        <v>2</v>
      </c>
      <c r="D5" s="15" t="s">
        <v>56</v>
      </c>
      <c r="E5" s="16">
        <v>43251</v>
      </c>
      <c r="F5" s="16">
        <v>43262</v>
      </c>
      <c r="G5" s="15" t="s">
        <v>43</v>
      </c>
      <c r="H5" s="15" t="s">
        <v>44</v>
      </c>
      <c r="I5" s="15" t="s">
        <v>51</v>
      </c>
      <c r="J5" s="27"/>
      <c r="K5" s="15" t="s">
        <v>20</v>
      </c>
      <c r="L5" s="16">
        <v>43264</v>
      </c>
      <c r="M5" s="16"/>
      <c r="N5" s="16"/>
      <c r="O5" s="37"/>
    </row>
    <row r="6" ht="32" customHeight="1" spans="1:15">
      <c r="A6" s="13">
        <f>MAX($A$3:A5)+1</f>
        <v>4</v>
      </c>
      <c r="B6" s="27" t="s">
        <v>57</v>
      </c>
      <c r="C6" s="15" t="s">
        <v>2</v>
      </c>
      <c r="D6" s="15" t="s">
        <v>48</v>
      </c>
      <c r="E6" s="16">
        <v>43287</v>
      </c>
      <c r="F6" s="16">
        <v>43342</v>
      </c>
      <c r="G6" s="15" t="s">
        <v>43</v>
      </c>
      <c r="H6" s="15" t="s">
        <v>58</v>
      </c>
      <c r="I6" s="15" t="s">
        <v>59</v>
      </c>
      <c r="J6" s="27" t="s">
        <v>60</v>
      </c>
      <c r="K6" s="15" t="s">
        <v>19</v>
      </c>
      <c r="L6" s="16"/>
      <c r="M6" s="16"/>
      <c r="N6" s="16" t="s">
        <v>61</v>
      </c>
      <c r="O6" s="53"/>
    </row>
    <row r="7" customHeight="1" spans="1:15">
      <c r="A7" s="13"/>
      <c r="B7" s="27"/>
      <c r="C7" s="15"/>
      <c r="D7" s="15"/>
      <c r="E7" s="16"/>
      <c r="F7" s="16"/>
      <c r="G7" s="15"/>
      <c r="H7" s="15"/>
      <c r="I7" s="15"/>
      <c r="J7" s="27"/>
      <c r="K7" s="15"/>
      <c r="L7" s="16"/>
      <c r="M7" s="16"/>
      <c r="N7" s="16"/>
      <c r="O7" s="37"/>
    </row>
    <row r="8" customHeight="1" spans="1:15">
      <c r="A8" s="13"/>
      <c r="B8" s="27"/>
      <c r="C8" s="15"/>
      <c r="D8" s="15"/>
      <c r="E8" s="16"/>
      <c r="F8" s="16"/>
      <c r="G8" s="15"/>
      <c r="H8" s="15"/>
      <c r="I8" s="15"/>
      <c r="J8" s="27"/>
      <c r="K8" s="15"/>
      <c r="L8" s="16"/>
      <c r="M8" s="16"/>
      <c r="N8" s="16"/>
      <c r="O8" s="37"/>
    </row>
    <row r="9" customHeight="1" spans="1:15">
      <c r="A9" s="13">
        <f>MAX($A$3:A8)+1</f>
        <v>5</v>
      </c>
      <c r="B9" s="27"/>
      <c r="C9" s="15"/>
      <c r="D9" s="15"/>
      <c r="E9" s="16"/>
      <c r="F9" s="16"/>
      <c r="G9" s="15"/>
      <c r="H9" s="15"/>
      <c r="I9" s="15"/>
      <c r="J9" s="27"/>
      <c r="K9" s="15"/>
      <c r="L9" s="16"/>
      <c r="M9" s="16"/>
      <c r="N9" s="16"/>
      <c r="O9" s="37"/>
    </row>
    <row r="10" customHeight="1" spans="1:15">
      <c r="A10" s="13">
        <f>MAX($A$3:A9)+1</f>
        <v>6</v>
      </c>
      <c r="B10" s="27"/>
      <c r="C10" s="15"/>
      <c r="D10" s="15"/>
      <c r="E10" s="16"/>
      <c r="F10" s="16"/>
      <c r="G10" s="15"/>
      <c r="H10" s="15"/>
      <c r="I10" s="15"/>
      <c r="J10" s="27"/>
      <c r="K10" s="15"/>
      <c r="L10" s="16"/>
      <c r="M10" s="16"/>
      <c r="N10" s="16"/>
      <c r="O10" s="37"/>
    </row>
    <row r="11" customHeight="1" spans="1:15">
      <c r="A11" s="13">
        <f>MAX($A$3:A10)+1</f>
        <v>7</v>
      </c>
      <c r="B11" s="27"/>
      <c r="C11" s="15"/>
      <c r="D11" s="15"/>
      <c r="E11" s="16"/>
      <c r="F11" s="16"/>
      <c r="G11" s="15"/>
      <c r="H11" s="15"/>
      <c r="I11" s="15"/>
      <c r="J11" s="27"/>
      <c r="K11" s="15"/>
      <c r="L11" s="16"/>
      <c r="M11" s="16"/>
      <c r="N11" s="16"/>
      <c r="O11" s="37"/>
    </row>
    <row r="12" customHeight="1" spans="1:15">
      <c r="A12" s="13">
        <f>MAX($A$3:A11)+1</f>
        <v>8</v>
      </c>
      <c r="B12" s="27"/>
      <c r="C12" s="15"/>
      <c r="D12" s="15"/>
      <c r="E12" s="16"/>
      <c r="F12" s="16"/>
      <c r="G12" s="15"/>
      <c r="H12" s="15"/>
      <c r="I12" s="15"/>
      <c r="J12" s="27"/>
      <c r="K12" s="15"/>
      <c r="L12" s="16"/>
      <c r="M12" s="16"/>
      <c r="N12" s="16"/>
      <c r="O12" s="37"/>
    </row>
    <row r="13" customHeight="1" spans="1:15">
      <c r="A13" s="13">
        <f>MAX($A$3:A12)+1</f>
        <v>9</v>
      </c>
      <c r="B13" s="27"/>
      <c r="C13" s="15"/>
      <c r="D13" s="15"/>
      <c r="E13" s="16"/>
      <c r="F13" s="16"/>
      <c r="G13" s="15"/>
      <c r="H13" s="15"/>
      <c r="I13" s="15"/>
      <c r="J13" s="27"/>
      <c r="K13" s="15"/>
      <c r="L13" s="16"/>
      <c r="M13" s="16"/>
      <c r="N13" s="16"/>
      <c r="O13" s="37"/>
    </row>
    <row r="14" customHeight="1" spans="1:15">
      <c r="A14" s="13">
        <f>MAX($A$3:A13)+1</f>
        <v>10</v>
      </c>
      <c r="B14" s="27"/>
      <c r="C14" s="15"/>
      <c r="D14" s="15"/>
      <c r="E14" s="16"/>
      <c r="F14" s="16"/>
      <c r="G14" s="15"/>
      <c r="H14" s="15"/>
      <c r="I14" s="15"/>
      <c r="J14" s="27"/>
      <c r="K14" s="15"/>
      <c r="L14" s="16"/>
      <c r="M14" s="16"/>
      <c r="N14" s="16"/>
      <c r="O14" s="37"/>
    </row>
    <row r="15" customHeight="1" spans="1:15">
      <c r="A15" s="13">
        <f>MAX($A$3:A14)+1</f>
        <v>11</v>
      </c>
      <c r="B15" s="27"/>
      <c r="C15" s="15"/>
      <c r="D15" s="15"/>
      <c r="E15" s="16"/>
      <c r="F15" s="16"/>
      <c r="G15" s="15"/>
      <c r="H15" s="15"/>
      <c r="I15" s="15"/>
      <c r="J15" s="27"/>
      <c r="K15" s="15"/>
      <c r="L15" s="16"/>
      <c r="M15" s="16"/>
      <c r="N15" s="16"/>
      <c r="O15" s="37"/>
    </row>
    <row r="16" customHeight="1" spans="1:15">
      <c r="A16" s="13">
        <f>MAX($A$3:A15)+1</f>
        <v>12</v>
      </c>
      <c r="B16" s="27"/>
      <c r="C16" s="15"/>
      <c r="D16" s="15"/>
      <c r="E16" s="16"/>
      <c r="F16" s="16"/>
      <c r="G16" s="15"/>
      <c r="H16" s="15"/>
      <c r="I16" s="15"/>
      <c r="J16" s="27"/>
      <c r="K16" s="15"/>
      <c r="L16" s="16"/>
      <c r="M16" s="16"/>
      <c r="N16" s="16"/>
      <c r="O16" s="37"/>
    </row>
    <row r="17" customHeight="1" spans="1:15">
      <c r="A17" s="13">
        <f>MAX($A$3:A16)+1</f>
        <v>13</v>
      </c>
      <c r="B17" s="27"/>
      <c r="C17" s="15"/>
      <c r="D17" s="15"/>
      <c r="E17" s="16"/>
      <c r="F17" s="16"/>
      <c r="G17" s="15"/>
      <c r="H17" s="15"/>
      <c r="I17" s="15"/>
      <c r="J17" s="27"/>
      <c r="K17" s="15"/>
      <c r="L17" s="16"/>
      <c r="M17" s="16"/>
      <c r="N17" s="16"/>
      <c r="O17" s="37"/>
    </row>
    <row r="18" customHeight="1" spans="1:15">
      <c r="A18" s="13">
        <f>MAX($A$3:A17)+1</f>
        <v>14</v>
      </c>
      <c r="B18" s="27"/>
      <c r="C18" s="15"/>
      <c r="D18" s="15"/>
      <c r="E18" s="16"/>
      <c r="F18" s="16"/>
      <c r="G18" s="15"/>
      <c r="H18" s="15"/>
      <c r="I18" s="15"/>
      <c r="J18" s="27"/>
      <c r="K18" s="15"/>
      <c r="L18" s="16"/>
      <c r="M18" s="16"/>
      <c r="N18" s="16"/>
      <c r="O18" s="37"/>
    </row>
    <row r="19" customHeight="1" spans="1:15">
      <c r="A19" s="13">
        <f>MAX($A$3:A18)+1</f>
        <v>15</v>
      </c>
      <c r="B19" s="27"/>
      <c r="C19" s="21"/>
      <c r="D19" s="15"/>
      <c r="E19" s="16"/>
      <c r="F19" s="16"/>
      <c r="G19" s="21"/>
      <c r="H19" s="21"/>
      <c r="I19" s="21"/>
      <c r="J19" s="27"/>
      <c r="K19" s="21"/>
      <c r="L19" s="16"/>
      <c r="M19" s="16"/>
      <c r="N19" s="16"/>
      <c r="O19" s="37"/>
    </row>
    <row r="20" customHeight="1" spans="1:2">
      <c r="A20" s="28" t="s">
        <v>62</v>
      </c>
      <c r="B20" s="29" t="s">
        <v>63</v>
      </c>
    </row>
    <row r="21" customHeight="1" spans="1:2">
      <c r="A21" s="30" t="s">
        <v>64</v>
      </c>
      <c r="B21" s="31" t="s">
        <v>65</v>
      </c>
    </row>
    <row r="22" customHeight="1" spans="1:2">
      <c r="A22" s="32" t="s">
        <v>66</v>
      </c>
      <c r="B22" s="31" t="s">
        <v>67</v>
      </c>
    </row>
    <row r="23" customHeight="1" spans="1:2">
      <c r="A23" s="33" t="s">
        <v>68</v>
      </c>
      <c r="B23" s="34" t="s">
        <v>69</v>
      </c>
    </row>
    <row r="24" customHeight="1" spans="1:2">
      <c r="A24" s="35"/>
      <c r="B24" s="34" t="s">
        <v>70</v>
      </c>
    </row>
    <row r="25" customHeight="1" spans="1:2">
      <c r="A25" s="35"/>
      <c r="B25" s="34" t="s">
        <v>71</v>
      </c>
    </row>
    <row r="26" customHeight="1" spans="1:2">
      <c r="A26" s="36" t="s">
        <v>72</v>
      </c>
      <c r="B26" s="34" t="s">
        <v>73</v>
      </c>
    </row>
  </sheetData>
  <autoFilter ref="A2:O26">
    <extLst/>
  </autoFilter>
  <mergeCells count="1">
    <mergeCell ref="A1:O1"/>
  </mergeCells>
  <conditionalFormatting sqref="G5">
    <cfRule type="cellIs" dxfId="0" priority="15" stopIfTrue="1" operator="equal">
      <formula>"高"</formula>
    </cfRule>
    <cfRule type="cellIs" dxfId="1" priority="14" stopIfTrue="1" operator="equal">
      <formula>"急"</formula>
    </cfRule>
  </conditionalFormatting>
  <conditionalFormatting sqref="H5">
    <cfRule type="cellIs" dxfId="0" priority="17" stopIfTrue="1" operator="equal">
      <formula>"重要"</formula>
    </cfRule>
    <cfRule type="cellIs" dxfId="1" priority="16" stopIfTrue="1" operator="equal">
      <formula>"非常重要"</formula>
    </cfRule>
  </conditionalFormatting>
  <conditionalFormatting sqref="G6">
    <cfRule type="cellIs" dxfId="0" priority="11" stopIfTrue="1" operator="equal">
      <formula>"高"</formula>
    </cfRule>
    <cfRule type="cellIs" dxfId="1" priority="10" stopIfTrue="1" operator="equal">
      <formula>"急"</formula>
    </cfRule>
  </conditionalFormatting>
  <conditionalFormatting sqref="H6">
    <cfRule type="cellIs" dxfId="0" priority="13" stopIfTrue="1" operator="equal">
      <formula>"重要"</formula>
    </cfRule>
    <cfRule type="cellIs" dxfId="1" priority="12" stopIfTrue="1" operator="equal">
      <formula>"非常重要"</formula>
    </cfRule>
  </conditionalFormatting>
  <conditionalFormatting sqref="H7">
    <cfRule type="cellIs" dxfId="0" priority="4" stopIfTrue="1" operator="equal">
      <formula>"重要"</formula>
    </cfRule>
    <cfRule type="cellIs" dxfId="1" priority="3" stopIfTrue="1" operator="equal">
      <formula>"非常重要"</formula>
    </cfRule>
  </conditionalFormatting>
  <conditionalFormatting sqref="H8">
    <cfRule type="cellIs" dxfId="0" priority="2" stopIfTrue="1" operator="equal">
      <formula>"重要"</formula>
    </cfRule>
    <cfRule type="cellIs" dxfId="1" priority="1" stopIfTrue="1" operator="equal">
      <formula>"非常重要"</formula>
    </cfRule>
  </conditionalFormatting>
  <conditionalFormatting sqref="G7:G8">
    <cfRule type="cellIs" dxfId="0" priority="6" stopIfTrue="1" operator="equal">
      <formula>"高"</formula>
    </cfRule>
    <cfRule type="cellIs" dxfId="1" priority="5" stopIfTrue="1" operator="equal">
      <formula>"急"</formula>
    </cfRule>
  </conditionalFormatting>
  <conditionalFormatting sqref="K7:K8">
    <cfRule type="cellIs" dxfId="2" priority="7" stopIfTrue="1" operator="equal">
      <formula>"已取消"</formula>
    </cfRule>
    <cfRule type="cellIs" dxfId="3" priority="8" stopIfTrue="1" operator="equal">
      <formula>"已解决"</formula>
    </cfRule>
    <cfRule type="cellIs" dxfId="4" priority="9" stopIfTrue="1" operator="equal">
      <formula>"解决中"</formula>
    </cfRule>
  </conditionalFormatting>
  <conditionalFormatting sqref="H2:H4 H9:H65536">
    <cfRule type="cellIs" dxfId="1" priority="23" stopIfTrue="1" operator="equal">
      <formula>"非常重要"</formula>
    </cfRule>
    <cfRule type="cellIs" dxfId="0" priority="24" stopIfTrue="1" operator="equal">
      <formula>"重要"</formula>
    </cfRule>
  </conditionalFormatting>
  <conditionalFormatting sqref="G3:G4 G9:G65536">
    <cfRule type="cellIs" dxfId="1" priority="18" stopIfTrue="1" operator="equal">
      <formula>"急"</formula>
    </cfRule>
    <cfRule type="cellIs" dxfId="0" priority="19" stopIfTrue="1" operator="equal">
      <formula>"高"</formula>
    </cfRule>
  </conditionalFormatting>
  <conditionalFormatting sqref="K3:K6 K9:K65536">
    <cfRule type="cellIs" dxfId="2" priority="20" stopIfTrue="1" operator="equal">
      <formula>"已取消"</formula>
    </cfRule>
    <cfRule type="cellIs" dxfId="3" priority="21" stopIfTrue="1" operator="equal">
      <formula>"已解决"</formula>
    </cfRule>
    <cfRule type="cellIs" dxfId="4" priority="22" stopIfTrue="1" operator="equal">
      <formula>"解决中"</formula>
    </cfRule>
  </conditionalFormatting>
  <dataValidations count="4">
    <dataValidation type="list" allowBlank="1" showInputMessage="1" showErrorMessage="1" sqref="G5 G6 G3:G4 G7:G8 G9:G65536">
      <formula1>Priority</formula1>
    </dataValidation>
    <dataValidation type="list" allowBlank="1" showInputMessage="1" showErrorMessage="1" sqref="H5 H6 H7 H8 H3:H4 H9:H65536">
      <formula1>重要性</formula1>
    </dataValidation>
    <dataValidation type="list" allowBlank="1" showInputMessage="1" showErrorMessage="1" sqref="K5 K6 K3:K4 K7:K8 K9:K65536">
      <formula1>Status</formula1>
    </dataValidation>
    <dataValidation type="list" allowBlank="1" showInputMessage="1" showErrorMessage="1" sqref="C3:C4 C5:C6 C7:C8 C9:C65536">
      <formula1>Attrib</formula1>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O42"/>
  <sheetViews>
    <sheetView showGridLines="0" workbookViewId="0">
      <pane xSplit="2" ySplit="2" topLeftCell="C8" activePane="bottomRight" state="frozen"/>
      <selection/>
      <selection pane="topRight"/>
      <selection pane="bottomLeft"/>
      <selection pane="bottomRight" activeCell="M26" sqref="M26"/>
    </sheetView>
  </sheetViews>
  <sheetFormatPr defaultColWidth="8" defaultRowHeight="21" customHeight="1"/>
  <cols>
    <col min="1" max="1" width="4.08333333333333" style="8" customWidth="1"/>
    <col min="2" max="2" width="29.3333333333333" style="6" customWidth="1"/>
    <col min="3" max="3" width="7.25" style="8" customWidth="1"/>
    <col min="4" max="4" width="9.25" style="8" customWidth="1"/>
    <col min="5" max="6" width="8.33333333333333" style="54" customWidth="1"/>
    <col min="7" max="8" width="5.75" style="8" customWidth="1"/>
    <col min="9" max="9" width="8.75" style="8" customWidth="1"/>
    <col min="10" max="10" width="26.75" style="6" customWidth="1"/>
    <col min="11" max="11" width="7.58333333333333" style="8" customWidth="1"/>
    <col min="12" max="12" width="8.75" style="54" customWidth="1"/>
    <col min="13" max="13" width="11.25" style="54" customWidth="1"/>
    <col min="14" max="14" width="16.5" style="54" customWidth="1"/>
    <col min="15" max="15" width="22" style="6" customWidth="1"/>
    <col min="16" max="16384" width="8" style="6"/>
  </cols>
  <sheetData>
    <row r="1" ht="32.25" customHeight="1" spans="1:15">
      <c r="A1" s="10" t="s">
        <v>25</v>
      </c>
      <c r="B1" s="10"/>
      <c r="C1" s="10"/>
      <c r="D1" s="10"/>
      <c r="E1" s="10"/>
      <c r="F1" s="10"/>
      <c r="G1" s="10"/>
      <c r="H1" s="10"/>
      <c r="I1" s="10"/>
      <c r="J1" s="10"/>
      <c r="K1" s="10"/>
      <c r="L1" s="10"/>
      <c r="M1" s="10"/>
      <c r="N1" s="10"/>
      <c r="O1" s="10"/>
    </row>
    <row r="2" s="4" customFormat="1" ht="26.25" customHeight="1" spans="1:15">
      <c r="A2" s="11" t="s">
        <v>26</v>
      </c>
      <c r="B2" s="11" t="s">
        <v>27</v>
      </c>
      <c r="C2" s="11" t="s">
        <v>28</v>
      </c>
      <c r="D2" s="11" t="s">
        <v>29</v>
      </c>
      <c r="E2" s="12" t="s">
        <v>30</v>
      </c>
      <c r="F2" s="12" t="s">
        <v>31</v>
      </c>
      <c r="G2" s="11" t="s">
        <v>32</v>
      </c>
      <c r="H2" s="11" t="s">
        <v>33</v>
      </c>
      <c r="I2" s="11" t="s">
        <v>34</v>
      </c>
      <c r="J2" s="11" t="s">
        <v>35</v>
      </c>
      <c r="K2" s="11" t="s">
        <v>36</v>
      </c>
      <c r="L2" s="12" t="s">
        <v>37</v>
      </c>
      <c r="M2" s="12" t="s">
        <v>72</v>
      </c>
      <c r="N2" s="12" t="s">
        <v>38</v>
      </c>
      <c r="O2" s="11" t="s">
        <v>74</v>
      </c>
    </row>
    <row r="3" ht="34" hidden="1" customHeight="1" spans="1:15">
      <c r="A3" s="13">
        <v>1</v>
      </c>
      <c r="B3" s="26" t="s">
        <v>75</v>
      </c>
      <c r="C3" s="15" t="s">
        <v>2</v>
      </c>
      <c r="D3" s="20" t="s">
        <v>42</v>
      </c>
      <c r="E3" s="16">
        <v>43215</v>
      </c>
      <c r="F3" s="16">
        <v>43262</v>
      </c>
      <c r="G3" s="15" t="s">
        <v>43</v>
      </c>
      <c r="H3" s="15" t="s">
        <v>44</v>
      </c>
      <c r="I3" s="15" t="s">
        <v>76</v>
      </c>
      <c r="J3" s="59"/>
      <c r="K3" s="15" t="s">
        <v>20</v>
      </c>
      <c r="L3" s="57">
        <v>43257</v>
      </c>
      <c r="M3" s="57"/>
      <c r="N3" s="16" t="s">
        <v>77</v>
      </c>
      <c r="O3" s="37"/>
    </row>
    <row r="4" ht="36" hidden="1" spans="1:15">
      <c r="A4" s="13">
        <f>MAX($A$3:A3)+1</f>
        <v>2</v>
      </c>
      <c r="B4" s="14" t="s">
        <v>78</v>
      </c>
      <c r="C4" s="15" t="s">
        <v>2</v>
      </c>
      <c r="D4" s="20" t="s">
        <v>42</v>
      </c>
      <c r="E4" s="16">
        <v>43215</v>
      </c>
      <c r="F4" s="16">
        <v>43262</v>
      </c>
      <c r="G4" s="15" t="s">
        <v>43</v>
      </c>
      <c r="H4" s="15" t="s">
        <v>44</v>
      </c>
      <c r="I4" s="15" t="s">
        <v>76</v>
      </c>
      <c r="J4" s="59"/>
      <c r="K4" s="15" t="s">
        <v>20</v>
      </c>
      <c r="L4" s="57">
        <v>43257</v>
      </c>
      <c r="M4" s="57"/>
      <c r="N4" s="57" t="s">
        <v>79</v>
      </c>
      <c r="O4" s="37"/>
    </row>
    <row r="5" ht="132" hidden="1" spans="1:15">
      <c r="A5" s="13">
        <f>MAX($A$3:A4)+1</f>
        <v>3</v>
      </c>
      <c r="B5" s="14" t="s">
        <v>80</v>
      </c>
      <c r="C5" s="15" t="s">
        <v>2</v>
      </c>
      <c r="D5" s="20" t="s">
        <v>42</v>
      </c>
      <c r="E5" s="16">
        <v>43215</v>
      </c>
      <c r="F5" s="16">
        <v>43262</v>
      </c>
      <c r="G5" s="15" t="s">
        <v>43</v>
      </c>
      <c r="H5" s="15" t="s">
        <v>44</v>
      </c>
      <c r="I5" s="15" t="s">
        <v>11</v>
      </c>
      <c r="J5" s="59" t="s">
        <v>81</v>
      </c>
      <c r="K5" s="15" t="s">
        <v>21</v>
      </c>
      <c r="L5" s="16"/>
      <c r="M5" s="16"/>
      <c r="N5" s="16"/>
      <c r="O5" s="37"/>
    </row>
    <row r="6" ht="36" hidden="1" spans="1:15">
      <c r="A6" s="13">
        <f>MAX($A$3:A5)+1</f>
        <v>4</v>
      </c>
      <c r="B6" s="14" t="s">
        <v>82</v>
      </c>
      <c r="C6" s="15" t="s">
        <v>2</v>
      </c>
      <c r="D6" s="20" t="s">
        <v>42</v>
      </c>
      <c r="E6" s="16">
        <v>43215</v>
      </c>
      <c r="F6" s="16">
        <v>43262</v>
      </c>
      <c r="G6" s="15" t="s">
        <v>43</v>
      </c>
      <c r="H6" s="15" t="s">
        <v>44</v>
      </c>
      <c r="I6" s="15" t="s">
        <v>76</v>
      </c>
      <c r="J6" s="59"/>
      <c r="K6" s="15" t="s">
        <v>20</v>
      </c>
      <c r="L6" s="16">
        <v>43258</v>
      </c>
      <c r="M6" s="60"/>
      <c r="N6" s="59" t="s">
        <v>83</v>
      </c>
      <c r="O6" s="37"/>
    </row>
    <row r="7" ht="60" hidden="1" spans="1:15">
      <c r="A7" s="13">
        <f>MAX($A$3:A6)+1</f>
        <v>5</v>
      </c>
      <c r="B7" s="55" t="s">
        <v>84</v>
      </c>
      <c r="C7" s="15" t="s">
        <v>2</v>
      </c>
      <c r="D7" s="20" t="s">
        <v>42</v>
      </c>
      <c r="E7" s="16">
        <v>43215</v>
      </c>
      <c r="F7" s="16">
        <v>43262</v>
      </c>
      <c r="G7" s="15" t="s">
        <v>43</v>
      </c>
      <c r="H7" s="15" t="s">
        <v>44</v>
      </c>
      <c r="I7" s="15" t="s">
        <v>76</v>
      </c>
      <c r="J7" s="59"/>
      <c r="K7" s="15" t="s">
        <v>20</v>
      </c>
      <c r="L7" s="16">
        <v>43258</v>
      </c>
      <c r="M7" s="60"/>
      <c r="N7" s="59" t="s">
        <v>85</v>
      </c>
      <c r="O7" s="37"/>
    </row>
    <row r="8" s="5" customFormat="1" ht="96" spans="1:15">
      <c r="A8" s="13">
        <f>MAX($A$3:A7)+1</f>
        <v>6</v>
      </c>
      <c r="B8" s="14" t="s">
        <v>86</v>
      </c>
      <c r="C8" s="18" t="s">
        <v>2</v>
      </c>
      <c r="D8" s="20" t="s">
        <v>56</v>
      </c>
      <c r="E8" s="19">
        <v>43250</v>
      </c>
      <c r="F8" s="19">
        <v>43262</v>
      </c>
      <c r="G8" s="18" t="s">
        <v>49</v>
      </c>
      <c r="H8" s="18" t="s">
        <v>50</v>
      </c>
      <c r="I8" s="18" t="s">
        <v>76</v>
      </c>
      <c r="J8" s="59" t="s">
        <v>87</v>
      </c>
      <c r="K8" s="18" t="s">
        <v>19</v>
      </c>
      <c r="L8" s="19"/>
      <c r="M8" s="19" t="s">
        <v>88</v>
      </c>
      <c r="N8" s="19" t="s">
        <v>89</v>
      </c>
      <c r="O8" s="58"/>
    </row>
    <row r="9" s="5" customFormat="1" ht="96" hidden="1" spans="1:15">
      <c r="A9" s="13">
        <f>MAX($A$3:A8)+1</f>
        <v>7</v>
      </c>
      <c r="B9" s="14" t="s">
        <v>90</v>
      </c>
      <c r="C9" s="18" t="s">
        <v>2</v>
      </c>
      <c r="D9" s="20" t="s">
        <v>42</v>
      </c>
      <c r="E9" s="19">
        <v>43250</v>
      </c>
      <c r="F9" s="19">
        <v>43262</v>
      </c>
      <c r="G9" s="18" t="s">
        <v>43</v>
      </c>
      <c r="H9" s="18" t="s">
        <v>44</v>
      </c>
      <c r="I9" s="18" t="s">
        <v>76</v>
      </c>
      <c r="J9" s="59" t="s">
        <v>91</v>
      </c>
      <c r="K9" s="18" t="s">
        <v>20</v>
      </c>
      <c r="L9" s="19">
        <v>43280</v>
      </c>
      <c r="M9" s="19"/>
      <c r="N9" s="19"/>
      <c r="O9" s="58"/>
    </row>
    <row r="10" s="6" customFormat="1" ht="36" hidden="1" spans="1:15">
      <c r="A10" s="13">
        <f>MAX($A$3:A9)+1</f>
        <v>8</v>
      </c>
      <c r="B10" s="14" t="s">
        <v>92</v>
      </c>
      <c r="C10" s="15" t="s">
        <v>2</v>
      </c>
      <c r="D10" s="20" t="s">
        <v>11</v>
      </c>
      <c r="E10" s="16">
        <v>43250</v>
      </c>
      <c r="F10" s="16">
        <v>43262</v>
      </c>
      <c r="G10" s="15" t="s">
        <v>43</v>
      </c>
      <c r="H10" s="15" t="s">
        <v>44</v>
      </c>
      <c r="I10" s="15" t="s">
        <v>76</v>
      </c>
      <c r="J10" s="59" t="s">
        <v>93</v>
      </c>
      <c r="K10" s="15" t="s">
        <v>20</v>
      </c>
      <c r="L10" s="57">
        <v>43257</v>
      </c>
      <c r="M10" s="57"/>
      <c r="N10" s="61" t="s">
        <v>94</v>
      </c>
      <c r="O10" s="53"/>
    </row>
    <row r="11" s="6" customFormat="1" ht="36" hidden="1" spans="1:15">
      <c r="A11" s="13">
        <f>MAX($A$3:A10)+1</f>
        <v>9</v>
      </c>
      <c r="B11" s="14" t="s">
        <v>95</v>
      </c>
      <c r="C11" s="15" t="s">
        <v>2</v>
      </c>
      <c r="D11" s="20" t="s">
        <v>42</v>
      </c>
      <c r="E11" s="16">
        <v>43250</v>
      </c>
      <c r="F11" s="16">
        <v>43262</v>
      </c>
      <c r="G11" s="15" t="s">
        <v>43</v>
      </c>
      <c r="H11" s="15" t="s">
        <v>44</v>
      </c>
      <c r="I11" s="15" t="s">
        <v>76</v>
      </c>
      <c r="J11" s="59"/>
      <c r="K11" s="15" t="s">
        <v>20</v>
      </c>
      <c r="L11" s="57">
        <v>43257</v>
      </c>
      <c r="M11" s="57"/>
      <c r="N11" s="61" t="s">
        <v>96</v>
      </c>
      <c r="O11" s="53"/>
    </row>
    <row r="12" s="6" customFormat="1" ht="144" hidden="1" spans="1:15">
      <c r="A12" s="13">
        <f>MAX($A$3:A11)+1</f>
        <v>10</v>
      </c>
      <c r="B12" s="14" t="s">
        <v>97</v>
      </c>
      <c r="C12" s="15" t="s">
        <v>2</v>
      </c>
      <c r="D12" s="20" t="s">
        <v>42</v>
      </c>
      <c r="E12" s="16">
        <v>43250</v>
      </c>
      <c r="F12" s="16">
        <v>43262</v>
      </c>
      <c r="G12" s="15" t="s">
        <v>43</v>
      </c>
      <c r="H12" s="15" t="s">
        <v>44</v>
      </c>
      <c r="I12" s="15" t="s">
        <v>76</v>
      </c>
      <c r="J12" s="59"/>
      <c r="K12" s="15" t="s">
        <v>20</v>
      </c>
      <c r="L12" s="57">
        <v>43257</v>
      </c>
      <c r="M12" s="57"/>
      <c r="N12" s="61" t="s">
        <v>98</v>
      </c>
      <c r="O12" s="53" t="s">
        <v>99</v>
      </c>
    </row>
    <row r="13" s="6" customFormat="1" ht="72" hidden="1" spans="1:15">
      <c r="A13" s="13">
        <f>MAX($A$3:A12)+1</f>
        <v>11</v>
      </c>
      <c r="B13" s="14" t="s">
        <v>100</v>
      </c>
      <c r="C13" s="15" t="s">
        <v>2</v>
      </c>
      <c r="D13" s="20" t="s">
        <v>42</v>
      </c>
      <c r="E13" s="16">
        <v>43250</v>
      </c>
      <c r="F13" s="16">
        <v>43262</v>
      </c>
      <c r="G13" s="15" t="s">
        <v>43</v>
      </c>
      <c r="H13" s="15" t="s">
        <v>44</v>
      </c>
      <c r="I13" s="15" t="s">
        <v>76</v>
      </c>
      <c r="J13" s="59"/>
      <c r="K13" s="15" t="s">
        <v>20</v>
      </c>
      <c r="L13" s="57">
        <v>43257</v>
      </c>
      <c r="M13" s="57"/>
      <c r="N13" s="61" t="s">
        <v>101</v>
      </c>
      <c r="O13" s="53"/>
    </row>
    <row r="14" s="6" customFormat="1" ht="72" hidden="1" spans="1:15">
      <c r="A14" s="13">
        <f>MAX($A$3:A13)+1</f>
        <v>12</v>
      </c>
      <c r="B14" s="14" t="s">
        <v>102</v>
      </c>
      <c r="C14" s="15" t="s">
        <v>2</v>
      </c>
      <c r="D14" s="20" t="s">
        <v>42</v>
      </c>
      <c r="E14" s="16">
        <v>43250</v>
      </c>
      <c r="F14" s="16">
        <v>43262</v>
      </c>
      <c r="G14" s="15" t="s">
        <v>43</v>
      </c>
      <c r="H14" s="15" t="s">
        <v>44</v>
      </c>
      <c r="I14" s="15" t="s">
        <v>76</v>
      </c>
      <c r="J14" s="59"/>
      <c r="K14" s="15" t="s">
        <v>20</v>
      </c>
      <c r="L14" s="57">
        <v>43257</v>
      </c>
      <c r="M14" s="57"/>
      <c r="N14" s="61" t="s">
        <v>103</v>
      </c>
      <c r="O14" s="53"/>
    </row>
    <row r="15" ht="48" hidden="1" spans="1:15">
      <c r="A15" s="13">
        <f>MAX($A$3:A14)+1</f>
        <v>13</v>
      </c>
      <c r="B15" s="14" t="s">
        <v>104</v>
      </c>
      <c r="C15" s="15" t="s">
        <v>2</v>
      </c>
      <c r="D15" s="20" t="s">
        <v>42</v>
      </c>
      <c r="E15" s="16">
        <v>43250</v>
      </c>
      <c r="F15" s="16">
        <v>43262</v>
      </c>
      <c r="G15" s="15" t="s">
        <v>43</v>
      </c>
      <c r="H15" s="15" t="s">
        <v>44</v>
      </c>
      <c r="I15" s="15" t="s">
        <v>11</v>
      </c>
      <c r="J15" s="59" t="s">
        <v>105</v>
      </c>
      <c r="K15" s="15" t="s">
        <v>21</v>
      </c>
      <c r="L15" s="16"/>
      <c r="M15" s="16"/>
      <c r="N15" s="16"/>
      <c r="O15" s="53" t="s">
        <v>99</v>
      </c>
    </row>
    <row r="16" ht="24" hidden="1" spans="1:15">
      <c r="A16" s="13">
        <f>MAX($A$3:A15)+1</f>
        <v>14</v>
      </c>
      <c r="B16" s="14" t="s">
        <v>106</v>
      </c>
      <c r="C16" s="15" t="s">
        <v>2</v>
      </c>
      <c r="D16" s="20" t="s">
        <v>56</v>
      </c>
      <c r="E16" s="16">
        <v>43250</v>
      </c>
      <c r="F16" s="16">
        <v>43262</v>
      </c>
      <c r="G16" s="15" t="s">
        <v>43</v>
      </c>
      <c r="H16" s="15" t="s">
        <v>44</v>
      </c>
      <c r="I16" s="15" t="s">
        <v>11</v>
      </c>
      <c r="J16" s="59" t="s">
        <v>107</v>
      </c>
      <c r="K16" s="15" t="s">
        <v>21</v>
      </c>
      <c r="L16" s="57">
        <v>43270</v>
      </c>
      <c r="M16" s="57"/>
      <c r="N16" s="61"/>
      <c r="O16" s="53" t="s">
        <v>99</v>
      </c>
    </row>
    <row r="17" ht="48" hidden="1" spans="1:15">
      <c r="A17" s="13">
        <f>MAX($A$3:A16)+1</f>
        <v>15</v>
      </c>
      <c r="B17" s="56" t="s">
        <v>108</v>
      </c>
      <c r="C17" s="15" t="s">
        <v>8</v>
      </c>
      <c r="D17" s="20" t="s">
        <v>56</v>
      </c>
      <c r="E17" s="16">
        <v>43250</v>
      </c>
      <c r="F17" s="16">
        <v>43262</v>
      </c>
      <c r="G17" s="15" t="s">
        <v>43</v>
      </c>
      <c r="H17" s="15" t="s">
        <v>44</v>
      </c>
      <c r="I17" s="15" t="s">
        <v>76</v>
      </c>
      <c r="J17" s="59" t="s">
        <v>109</v>
      </c>
      <c r="K17" s="15" t="s">
        <v>20</v>
      </c>
      <c r="L17" s="57"/>
      <c r="M17" s="57"/>
      <c r="N17" s="61" t="s">
        <v>110</v>
      </c>
      <c r="O17" s="53"/>
    </row>
    <row r="18" ht="15" hidden="1" spans="1:15">
      <c r="A18" s="13">
        <f>MAX($A$3:A17)+1</f>
        <v>16</v>
      </c>
      <c r="B18" s="26" t="s">
        <v>111</v>
      </c>
      <c r="C18" s="15" t="s">
        <v>2</v>
      </c>
      <c r="D18" s="20" t="s">
        <v>42</v>
      </c>
      <c r="E18" s="16">
        <v>43250</v>
      </c>
      <c r="F18" s="16">
        <v>43262</v>
      </c>
      <c r="G18" s="15" t="s">
        <v>43</v>
      </c>
      <c r="H18" s="15" t="s">
        <v>44</v>
      </c>
      <c r="I18" s="15" t="s">
        <v>11</v>
      </c>
      <c r="J18" s="59" t="s">
        <v>112</v>
      </c>
      <c r="K18" s="15" t="s">
        <v>21</v>
      </c>
      <c r="L18" s="57"/>
      <c r="M18" s="57"/>
      <c r="N18" s="61"/>
      <c r="O18" s="53"/>
    </row>
    <row r="19" ht="48" hidden="1" spans="1:15">
      <c r="A19" s="13">
        <f>MAX($A$3:A18)+1</f>
        <v>17</v>
      </c>
      <c r="B19" s="14" t="s">
        <v>113</v>
      </c>
      <c r="C19" s="15" t="s">
        <v>2</v>
      </c>
      <c r="D19" s="20" t="s">
        <v>114</v>
      </c>
      <c r="E19" s="16">
        <v>43252</v>
      </c>
      <c r="F19" s="16">
        <v>43262</v>
      </c>
      <c r="G19" s="15" t="s">
        <v>43</v>
      </c>
      <c r="H19" s="15" t="s">
        <v>44</v>
      </c>
      <c r="I19" s="15" t="s">
        <v>76</v>
      </c>
      <c r="J19" s="59"/>
      <c r="K19" s="15" t="s">
        <v>20</v>
      </c>
      <c r="L19" s="57">
        <v>43258</v>
      </c>
      <c r="M19" s="57"/>
      <c r="N19" s="61" t="s">
        <v>115</v>
      </c>
      <c r="O19" s="37"/>
    </row>
    <row r="20" ht="22.5" hidden="1" customHeight="1" spans="1:15">
      <c r="A20" s="13">
        <f>MAX($A$3:A19)+1</f>
        <v>18</v>
      </c>
      <c r="B20" s="26" t="s">
        <v>116</v>
      </c>
      <c r="C20" s="15" t="s">
        <v>2</v>
      </c>
      <c r="D20" s="15" t="s">
        <v>42</v>
      </c>
      <c r="E20" s="16">
        <v>43255</v>
      </c>
      <c r="F20" s="16">
        <v>43262</v>
      </c>
      <c r="G20" s="15" t="s">
        <v>43</v>
      </c>
      <c r="H20" s="15" t="s">
        <v>44</v>
      </c>
      <c r="I20" s="15" t="s">
        <v>76</v>
      </c>
      <c r="J20" s="62" t="s">
        <v>117</v>
      </c>
      <c r="K20" s="15" t="s">
        <v>20</v>
      </c>
      <c r="L20" s="16">
        <v>43264</v>
      </c>
      <c r="M20" s="16"/>
      <c r="N20" s="16"/>
      <c r="O20" s="37"/>
    </row>
    <row r="21" ht="60" hidden="1" spans="1:15">
      <c r="A21" s="13">
        <f>MAX($A$3:A20)+1</f>
        <v>19</v>
      </c>
      <c r="B21" s="26" t="s">
        <v>118</v>
      </c>
      <c r="C21" s="15" t="s">
        <v>2</v>
      </c>
      <c r="D21" s="15" t="s">
        <v>56</v>
      </c>
      <c r="E21" s="16">
        <v>43255</v>
      </c>
      <c r="F21" s="16">
        <v>43262</v>
      </c>
      <c r="G21" s="15" t="s">
        <v>43</v>
      </c>
      <c r="H21" s="15" t="s">
        <v>44</v>
      </c>
      <c r="I21" s="15" t="s">
        <v>76</v>
      </c>
      <c r="J21" s="27" t="s">
        <v>119</v>
      </c>
      <c r="K21" s="15" t="s">
        <v>20</v>
      </c>
      <c r="L21" s="16">
        <v>43283</v>
      </c>
      <c r="M21" s="16"/>
      <c r="N21" s="16" t="s">
        <v>120</v>
      </c>
      <c r="O21" s="37"/>
    </row>
    <row r="22" ht="72" hidden="1" spans="1:15">
      <c r="A22" s="13">
        <f>MAX($A$3:A21)+1</f>
        <v>20</v>
      </c>
      <c r="B22" s="26" t="s">
        <v>121</v>
      </c>
      <c r="C22" s="15" t="s">
        <v>2</v>
      </c>
      <c r="D22" s="15" t="s">
        <v>56</v>
      </c>
      <c r="E22" s="57">
        <v>43257</v>
      </c>
      <c r="F22" s="16">
        <v>43262</v>
      </c>
      <c r="G22" s="15" t="s">
        <v>43</v>
      </c>
      <c r="H22" s="15" t="s">
        <v>44</v>
      </c>
      <c r="I22" s="15" t="s">
        <v>76</v>
      </c>
      <c r="J22" s="27" t="s">
        <v>122</v>
      </c>
      <c r="K22" s="15" t="s">
        <v>20</v>
      </c>
      <c r="L22" s="16">
        <v>43287</v>
      </c>
      <c r="M22" s="16"/>
      <c r="N22" s="16" t="s">
        <v>123</v>
      </c>
      <c r="O22" s="37"/>
    </row>
    <row r="23" s="5" customFormat="1" ht="108" spans="1:15">
      <c r="A23" s="13">
        <f>MAX($A$3:A22)+1</f>
        <v>21</v>
      </c>
      <c r="B23" s="26" t="s">
        <v>124</v>
      </c>
      <c r="C23" s="18" t="s">
        <v>2</v>
      </c>
      <c r="D23" s="18" t="s">
        <v>42</v>
      </c>
      <c r="E23" s="19">
        <v>43258</v>
      </c>
      <c r="F23" s="19">
        <v>43262</v>
      </c>
      <c r="G23" s="18" t="s">
        <v>49</v>
      </c>
      <c r="H23" s="18" t="s">
        <v>50</v>
      </c>
      <c r="I23" s="18" t="s">
        <v>76</v>
      </c>
      <c r="J23" s="26" t="s">
        <v>125</v>
      </c>
      <c r="K23" s="18" t="s">
        <v>19</v>
      </c>
      <c r="L23" s="19"/>
      <c r="M23" s="19" t="s">
        <v>126</v>
      </c>
      <c r="N23" s="19"/>
      <c r="O23" s="38"/>
    </row>
    <row r="24" ht="22.5" hidden="1" customHeight="1" spans="1:15">
      <c r="A24" s="13">
        <f>MAX($A$3:A23)+1</f>
        <v>22</v>
      </c>
      <c r="B24" s="56" t="s">
        <v>127</v>
      </c>
      <c r="C24" s="15" t="s">
        <v>2</v>
      </c>
      <c r="D24" s="15" t="s">
        <v>42</v>
      </c>
      <c r="E24" s="16">
        <v>43283</v>
      </c>
      <c r="F24" s="16">
        <v>43291</v>
      </c>
      <c r="G24" s="15" t="s">
        <v>43</v>
      </c>
      <c r="H24" s="15" t="s">
        <v>44</v>
      </c>
      <c r="I24" s="15" t="s">
        <v>76</v>
      </c>
      <c r="J24" s="27"/>
      <c r="K24" s="15" t="s">
        <v>20</v>
      </c>
      <c r="L24" s="16">
        <v>43294</v>
      </c>
      <c r="M24" s="16"/>
      <c r="N24" s="16"/>
      <c r="O24" s="37"/>
    </row>
    <row r="25" ht="34" hidden="1" customHeight="1" spans="1:15">
      <c r="A25" s="13">
        <f>MAX($A$3:A24)+1</f>
        <v>23</v>
      </c>
      <c r="B25" s="27" t="s">
        <v>128</v>
      </c>
      <c r="C25" s="15" t="s">
        <v>2</v>
      </c>
      <c r="D25" s="15" t="s">
        <v>42</v>
      </c>
      <c r="E25" s="16">
        <v>43283</v>
      </c>
      <c r="F25" s="16">
        <v>43291</v>
      </c>
      <c r="G25" s="15" t="s">
        <v>43</v>
      </c>
      <c r="H25" s="15" t="s">
        <v>44</v>
      </c>
      <c r="I25" s="15" t="s">
        <v>76</v>
      </c>
      <c r="J25" s="27"/>
      <c r="K25" s="15" t="s">
        <v>21</v>
      </c>
      <c r="L25" s="16"/>
      <c r="M25" s="16"/>
      <c r="N25" s="16"/>
      <c r="O25" s="37"/>
    </row>
    <row r="26" s="5" customFormat="1" ht="28" customHeight="1" spans="1:15">
      <c r="A26" s="13">
        <f>MAX($A$3:A25)+1</f>
        <v>24</v>
      </c>
      <c r="B26" s="58" t="s">
        <v>129</v>
      </c>
      <c r="C26" s="18" t="s">
        <v>2</v>
      </c>
      <c r="D26" s="18" t="s">
        <v>48</v>
      </c>
      <c r="E26" s="19">
        <v>43298</v>
      </c>
      <c r="F26" s="19">
        <v>43301</v>
      </c>
      <c r="G26" s="18" t="s">
        <v>49</v>
      </c>
      <c r="H26" s="18" t="s">
        <v>50</v>
      </c>
      <c r="I26" s="18" t="s">
        <v>130</v>
      </c>
      <c r="J26" s="26"/>
      <c r="K26" s="18" t="s">
        <v>19</v>
      </c>
      <c r="L26" s="19"/>
      <c r="M26" s="19" t="s">
        <v>131</v>
      </c>
      <c r="N26" s="19"/>
      <c r="O26" s="58"/>
    </row>
    <row r="27" ht="31" customHeight="1" spans="1:15">
      <c r="A27" s="13">
        <f>MAX($A$3:A26)+1</f>
        <v>25</v>
      </c>
      <c r="B27" s="26" t="s">
        <v>132</v>
      </c>
      <c r="C27" s="15" t="s">
        <v>2</v>
      </c>
      <c r="D27" s="15" t="s">
        <v>48</v>
      </c>
      <c r="E27" s="16">
        <v>43298</v>
      </c>
      <c r="F27" s="16"/>
      <c r="G27" s="15" t="s">
        <v>133</v>
      </c>
      <c r="H27" s="15" t="s">
        <v>58</v>
      </c>
      <c r="I27" s="15" t="s">
        <v>134</v>
      </c>
      <c r="J27" s="27"/>
      <c r="K27" s="15" t="s">
        <v>17</v>
      </c>
      <c r="L27" s="16"/>
      <c r="M27" s="16" t="s">
        <v>135</v>
      </c>
      <c r="N27" s="16"/>
      <c r="O27" s="37"/>
    </row>
    <row r="28" ht="22.5" customHeight="1" spans="1:15">
      <c r="A28" s="13">
        <f>MAX($A$3:A27)+1</f>
        <v>26</v>
      </c>
      <c r="B28" s="26"/>
      <c r="C28" s="15"/>
      <c r="D28" s="15"/>
      <c r="E28" s="57"/>
      <c r="F28" s="57"/>
      <c r="G28" s="15"/>
      <c r="H28" s="15"/>
      <c r="I28" s="15"/>
      <c r="J28" s="27"/>
      <c r="K28" s="15"/>
      <c r="L28" s="16"/>
      <c r="M28" s="16"/>
      <c r="N28" s="16"/>
      <c r="O28" s="37"/>
    </row>
    <row r="29" ht="22.5" customHeight="1" spans="1:15">
      <c r="A29" s="13">
        <f>MAX($A$3:A28)+1</f>
        <v>27</v>
      </c>
      <c r="B29" s="26"/>
      <c r="C29" s="15"/>
      <c r="D29" s="15"/>
      <c r="E29" s="57"/>
      <c r="F29" s="57"/>
      <c r="G29" s="15"/>
      <c r="H29" s="15"/>
      <c r="I29" s="15"/>
      <c r="J29" s="27"/>
      <c r="K29" s="15"/>
      <c r="L29" s="16"/>
      <c r="M29" s="16"/>
      <c r="N29" s="16"/>
      <c r="O29" s="37"/>
    </row>
    <row r="30" ht="22.5" customHeight="1" spans="1:15">
      <c r="A30" s="13">
        <f>MAX($A$3:A29)+1</f>
        <v>28</v>
      </c>
      <c r="B30" s="26"/>
      <c r="C30" s="15"/>
      <c r="D30" s="15"/>
      <c r="E30" s="57"/>
      <c r="F30" s="57"/>
      <c r="G30" s="15"/>
      <c r="H30" s="15"/>
      <c r="I30" s="15"/>
      <c r="J30" s="27"/>
      <c r="K30" s="15"/>
      <c r="L30" s="16"/>
      <c r="M30" s="16"/>
      <c r="N30" s="16"/>
      <c r="O30" s="37"/>
    </row>
    <row r="31" ht="22.5" customHeight="1" spans="1:15">
      <c r="A31" s="13">
        <f>MAX($A$3:A30)+1</f>
        <v>29</v>
      </c>
      <c r="B31" s="26"/>
      <c r="C31" s="15"/>
      <c r="D31" s="15"/>
      <c r="E31" s="57"/>
      <c r="F31" s="57"/>
      <c r="G31" s="15"/>
      <c r="H31" s="15"/>
      <c r="I31" s="15"/>
      <c r="J31" s="27"/>
      <c r="K31" s="15"/>
      <c r="L31" s="16"/>
      <c r="M31" s="16"/>
      <c r="N31" s="16"/>
      <c r="O31" s="37"/>
    </row>
    <row r="32" ht="22.5" customHeight="1" spans="1:15">
      <c r="A32" s="13">
        <f>MAX($A$3:A31)+1</f>
        <v>30</v>
      </c>
      <c r="B32" s="26"/>
      <c r="C32" s="15"/>
      <c r="D32" s="15"/>
      <c r="E32" s="57"/>
      <c r="F32" s="57"/>
      <c r="G32" s="15"/>
      <c r="H32" s="15"/>
      <c r="I32" s="15"/>
      <c r="J32" s="27"/>
      <c r="K32" s="15"/>
      <c r="L32" s="16"/>
      <c r="M32" s="16"/>
      <c r="N32" s="16"/>
      <c r="O32" s="37"/>
    </row>
    <row r="33" ht="22.5" customHeight="1" spans="1:15">
      <c r="A33" s="13">
        <f>MAX($A$3:A32)+1</f>
        <v>31</v>
      </c>
      <c r="B33" s="26"/>
      <c r="C33" s="15"/>
      <c r="D33" s="15"/>
      <c r="E33" s="57"/>
      <c r="F33" s="57"/>
      <c r="G33" s="15"/>
      <c r="H33" s="15"/>
      <c r="I33" s="15"/>
      <c r="J33" s="27"/>
      <c r="K33" s="15"/>
      <c r="L33" s="16"/>
      <c r="M33" s="16"/>
      <c r="N33" s="16"/>
      <c r="O33" s="37"/>
    </row>
    <row r="34" ht="22.5" customHeight="1" spans="1:15">
      <c r="A34" s="13">
        <f>MAX($A$3:A33)+1</f>
        <v>32</v>
      </c>
      <c r="B34" s="26"/>
      <c r="C34" s="15"/>
      <c r="D34" s="15"/>
      <c r="E34" s="57"/>
      <c r="F34" s="57"/>
      <c r="G34" s="15"/>
      <c r="H34" s="15"/>
      <c r="I34" s="15"/>
      <c r="J34" s="27"/>
      <c r="K34" s="15"/>
      <c r="L34" s="16"/>
      <c r="M34" s="16"/>
      <c r="N34" s="16"/>
      <c r="O34" s="37"/>
    </row>
    <row r="35" ht="22.5" customHeight="1" spans="1:15">
      <c r="A35" s="13">
        <f>MAX($A$3:A27)+1</f>
        <v>26</v>
      </c>
      <c r="B35" s="26"/>
      <c r="C35" s="15"/>
      <c r="D35" s="15"/>
      <c r="E35" s="57"/>
      <c r="F35" s="57"/>
      <c r="G35" s="15"/>
      <c r="H35" s="15"/>
      <c r="I35" s="15"/>
      <c r="J35" s="27"/>
      <c r="K35" s="15"/>
      <c r="L35" s="16"/>
      <c r="M35" s="16"/>
      <c r="N35" s="16"/>
      <c r="O35" s="37"/>
    </row>
    <row r="36" customHeight="1" spans="1:2">
      <c r="A36" s="28" t="s">
        <v>62</v>
      </c>
      <c r="B36" s="29" t="s">
        <v>63</v>
      </c>
    </row>
    <row r="37" customHeight="1" spans="1:2">
      <c r="A37" s="30" t="s">
        <v>64</v>
      </c>
      <c r="B37" s="31" t="s">
        <v>65</v>
      </c>
    </row>
    <row r="38" customHeight="1" spans="1:2">
      <c r="A38" s="32" t="s">
        <v>66</v>
      </c>
      <c r="B38" s="31" t="s">
        <v>67</v>
      </c>
    </row>
    <row r="39" customHeight="1" spans="1:2">
      <c r="A39" s="33" t="s">
        <v>68</v>
      </c>
      <c r="B39" s="34" t="s">
        <v>69</v>
      </c>
    </row>
    <row r="40" customHeight="1" spans="1:2">
      <c r="A40" s="35"/>
      <c r="B40" s="34" t="s">
        <v>70</v>
      </c>
    </row>
    <row r="41" customHeight="1" spans="1:2">
      <c r="A41" s="35"/>
      <c r="B41" s="34" t="s">
        <v>71</v>
      </c>
    </row>
    <row r="42" customHeight="1" spans="1:2">
      <c r="A42" s="36" t="s">
        <v>72</v>
      </c>
      <c r="B42" s="34" t="s">
        <v>73</v>
      </c>
    </row>
  </sheetData>
  <autoFilter ref="A2:O42">
    <filterColumn colId="10">
      <filters blank="1">
        <filter val="未开始"/>
        <filter val="解决中"/>
      </filters>
    </filterColumn>
    <extLst/>
  </autoFilter>
  <mergeCells count="1">
    <mergeCell ref="A1:O1"/>
  </mergeCells>
  <conditionalFormatting sqref="G9">
    <cfRule type="cellIs" dxfId="0" priority="98" stopIfTrue="1" operator="equal">
      <formula>"高"</formula>
    </cfRule>
    <cfRule type="cellIs" dxfId="1" priority="97" stopIfTrue="1" operator="equal">
      <formula>"急"</formula>
    </cfRule>
  </conditionalFormatting>
  <conditionalFormatting sqref="H9">
    <cfRule type="cellIs" dxfId="0" priority="100" stopIfTrue="1" operator="equal">
      <formula>"重要"</formula>
    </cfRule>
    <cfRule type="cellIs" dxfId="1" priority="99" stopIfTrue="1" operator="equal">
      <formula>"非常重要"</formula>
    </cfRule>
  </conditionalFormatting>
  <conditionalFormatting sqref="K9">
    <cfRule type="cellIs" dxfId="4" priority="96" stopIfTrue="1" operator="equal">
      <formula>"解决中"</formula>
    </cfRule>
    <cfRule type="cellIs" dxfId="3" priority="95" stopIfTrue="1" operator="equal">
      <formula>"已解决"</formula>
    </cfRule>
    <cfRule type="cellIs" dxfId="2" priority="94" stopIfTrue="1" operator="equal">
      <formula>"已取消"</formula>
    </cfRule>
  </conditionalFormatting>
  <conditionalFormatting sqref="G10">
    <cfRule type="cellIs" dxfId="1" priority="101" stopIfTrue="1" operator="equal">
      <formula>"急"</formula>
    </cfRule>
    <cfRule type="cellIs" dxfId="0" priority="102" stopIfTrue="1" operator="equal">
      <formula>"高"</formula>
    </cfRule>
  </conditionalFormatting>
  <conditionalFormatting sqref="H10">
    <cfRule type="cellIs" dxfId="1" priority="106" stopIfTrue="1" operator="equal">
      <formula>"非常重要"</formula>
    </cfRule>
    <cfRule type="cellIs" dxfId="0" priority="107" stopIfTrue="1" operator="equal">
      <formula>"重要"</formula>
    </cfRule>
  </conditionalFormatting>
  <conditionalFormatting sqref="G11">
    <cfRule type="cellIs" dxfId="1" priority="66" stopIfTrue="1" operator="equal">
      <formula>"急"</formula>
    </cfRule>
    <cfRule type="cellIs" dxfId="0" priority="67" stopIfTrue="1" operator="equal">
      <formula>"高"</formula>
    </cfRule>
  </conditionalFormatting>
  <conditionalFormatting sqref="H11">
    <cfRule type="cellIs" dxfId="1" priority="68" stopIfTrue="1" operator="equal">
      <formula>"非常重要"</formula>
    </cfRule>
    <cfRule type="cellIs" dxfId="0" priority="69" stopIfTrue="1" operator="equal">
      <formula>"重要"</formula>
    </cfRule>
  </conditionalFormatting>
  <conditionalFormatting sqref="G12">
    <cfRule type="cellIs" dxfId="1" priority="59" stopIfTrue="1" operator="equal">
      <formula>"急"</formula>
    </cfRule>
    <cfRule type="cellIs" dxfId="0" priority="60" stopIfTrue="1" operator="equal">
      <formula>"高"</formula>
    </cfRule>
  </conditionalFormatting>
  <conditionalFormatting sqref="H12">
    <cfRule type="cellIs" dxfId="1" priority="61" stopIfTrue="1" operator="equal">
      <formula>"非常重要"</formula>
    </cfRule>
    <cfRule type="cellIs" dxfId="0" priority="62" stopIfTrue="1" operator="equal">
      <formula>"重要"</formula>
    </cfRule>
  </conditionalFormatting>
  <conditionalFormatting sqref="K12">
    <cfRule type="cellIs" dxfId="2" priority="63" stopIfTrue="1" operator="equal">
      <formula>"已取消"</formula>
    </cfRule>
    <cfRule type="cellIs" dxfId="3" priority="64" stopIfTrue="1" operator="equal">
      <formula>"已解决"</formula>
    </cfRule>
    <cfRule type="cellIs" dxfId="4" priority="65" stopIfTrue="1" operator="equal">
      <formula>"解决中"</formula>
    </cfRule>
  </conditionalFormatting>
  <conditionalFormatting sqref="G13">
    <cfRule type="cellIs" dxfId="1" priority="52" stopIfTrue="1" operator="equal">
      <formula>"急"</formula>
    </cfRule>
    <cfRule type="cellIs" dxfId="0" priority="53" stopIfTrue="1" operator="equal">
      <formula>"高"</formula>
    </cfRule>
  </conditionalFormatting>
  <conditionalFormatting sqref="H13">
    <cfRule type="cellIs" dxfId="1" priority="54" stopIfTrue="1" operator="equal">
      <formula>"非常重要"</formula>
    </cfRule>
    <cfRule type="cellIs" dxfId="0" priority="55" stopIfTrue="1" operator="equal">
      <formula>"重要"</formula>
    </cfRule>
  </conditionalFormatting>
  <conditionalFormatting sqref="K13">
    <cfRule type="cellIs" dxfId="2" priority="56" stopIfTrue="1" operator="equal">
      <formula>"已取消"</formula>
    </cfRule>
    <cfRule type="cellIs" dxfId="3" priority="57" stopIfTrue="1" operator="equal">
      <formula>"已解决"</formula>
    </cfRule>
    <cfRule type="cellIs" dxfId="4" priority="58" stopIfTrue="1" operator="equal">
      <formula>"解决中"</formula>
    </cfRule>
  </conditionalFormatting>
  <conditionalFormatting sqref="G14">
    <cfRule type="cellIs" dxfId="0" priority="46" stopIfTrue="1" operator="equal">
      <formula>"高"</formula>
    </cfRule>
    <cfRule type="cellIs" dxfId="1" priority="45" stopIfTrue="1" operator="equal">
      <formula>"急"</formula>
    </cfRule>
  </conditionalFormatting>
  <conditionalFormatting sqref="H14">
    <cfRule type="cellIs" dxfId="0" priority="48" stopIfTrue="1" operator="equal">
      <formula>"重要"</formula>
    </cfRule>
    <cfRule type="cellIs" dxfId="1" priority="47" stopIfTrue="1" operator="equal">
      <formula>"非常重要"</formula>
    </cfRule>
  </conditionalFormatting>
  <conditionalFormatting sqref="K14">
    <cfRule type="cellIs" dxfId="4" priority="51" stopIfTrue="1" operator="equal">
      <formula>"解决中"</formula>
    </cfRule>
    <cfRule type="cellIs" dxfId="3" priority="50" stopIfTrue="1" operator="equal">
      <formula>"已解决"</formula>
    </cfRule>
    <cfRule type="cellIs" dxfId="2" priority="49" stopIfTrue="1" operator="equal">
      <formula>"已取消"</formula>
    </cfRule>
  </conditionalFormatting>
  <conditionalFormatting sqref="G15">
    <cfRule type="cellIs" dxfId="1" priority="90" stopIfTrue="1" operator="equal">
      <formula>"急"</formula>
    </cfRule>
    <cfRule type="cellIs" dxfId="0" priority="91" stopIfTrue="1" operator="equal">
      <formula>"高"</formula>
    </cfRule>
  </conditionalFormatting>
  <conditionalFormatting sqref="H15">
    <cfRule type="cellIs" dxfId="1" priority="92" stopIfTrue="1" operator="equal">
      <formula>"非常重要"</formula>
    </cfRule>
    <cfRule type="cellIs" dxfId="0" priority="93" stopIfTrue="1" operator="equal">
      <formula>"重要"</formula>
    </cfRule>
  </conditionalFormatting>
  <conditionalFormatting sqref="G16">
    <cfRule type="cellIs" dxfId="1" priority="86" stopIfTrue="1" operator="equal">
      <formula>"急"</formula>
    </cfRule>
    <cfRule type="cellIs" dxfId="0" priority="87" stopIfTrue="1" operator="equal">
      <formula>"高"</formula>
    </cfRule>
  </conditionalFormatting>
  <conditionalFormatting sqref="H16">
    <cfRule type="cellIs" dxfId="1" priority="88" stopIfTrue="1" operator="equal">
      <formula>"非常重要"</formula>
    </cfRule>
    <cfRule type="cellIs" dxfId="0" priority="89" stopIfTrue="1" operator="equal">
      <formula>"重要"</formula>
    </cfRule>
  </conditionalFormatting>
  <conditionalFormatting sqref="G17">
    <cfRule type="cellIs" dxfId="1" priority="82" stopIfTrue="1" operator="equal">
      <formula>"急"</formula>
    </cfRule>
    <cfRule type="cellIs" dxfId="0" priority="83" stopIfTrue="1" operator="equal">
      <formula>"高"</formula>
    </cfRule>
  </conditionalFormatting>
  <conditionalFormatting sqref="H17">
    <cfRule type="cellIs" dxfId="1" priority="84" stopIfTrue="1" operator="equal">
      <formula>"非常重要"</formula>
    </cfRule>
    <cfRule type="cellIs" dxfId="0" priority="85" stopIfTrue="1" operator="equal">
      <formula>"重要"</formula>
    </cfRule>
  </conditionalFormatting>
  <conditionalFormatting sqref="G18">
    <cfRule type="cellIs" dxfId="1" priority="78" stopIfTrue="1" operator="equal">
      <formula>"急"</formula>
    </cfRule>
    <cfRule type="cellIs" dxfId="0" priority="79" stopIfTrue="1" operator="equal">
      <formula>"高"</formula>
    </cfRule>
  </conditionalFormatting>
  <conditionalFormatting sqref="H18">
    <cfRule type="cellIs" dxfId="1" priority="80" stopIfTrue="1" operator="equal">
      <formula>"非常重要"</formula>
    </cfRule>
    <cfRule type="cellIs" dxfId="0" priority="81" stopIfTrue="1" operator="equal">
      <formula>"重要"</formula>
    </cfRule>
  </conditionalFormatting>
  <conditionalFormatting sqref="G20">
    <cfRule type="cellIs" dxfId="1" priority="108" stopIfTrue="1" operator="equal">
      <formula>"急"</formula>
    </cfRule>
    <cfRule type="cellIs" dxfId="0" priority="109" stopIfTrue="1" operator="equal">
      <formula>"高"</formula>
    </cfRule>
  </conditionalFormatting>
  <conditionalFormatting sqref="H20">
    <cfRule type="cellIs" dxfId="1" priority="110" stopIfTrue="1" operator="equal">
      <formula>"非常重要"</formula>
    </cfRule>
    <cfRule type="cellIs" dxfId="0" priority="111" stopIfTrue="1" operator="equal">
      <formula>"重要"</formula>
    </cfRule>
  </conditionalFormatting>
  <conditionalFormatting sqref="G21">
    <cfRule type="cellIs" dxfId="1" priority="74" stopIfTrue="1" operator="equal">
      <formula>"急"</formula>
    </cfRule>
    <cfRule type="cellIs" dxfId="0" priority="75" stopIfTrue="1" operator="equal">
      <formula>"高"</formula>
    </cfRule>
  </conditionalFormatting>
  <conditionalFormatting sqref="H21">
    <cfRule type="cellIs" dxfId="1" priority="76" stopIfTrue="1" operator="equal">
      <formula>"非常重要"</formula>
    </cfRule>
    <cfRule type="cellIs" dxfId="0" priority="77" stopIfTrue="1" operator="equal">
      <formula>"重要"</formula>
    </cfRule>
  </conditionalFormatting>
  <conditionalFormatting sqref="G22">
    <cfRule type="cellIs" dxfId="0" priority="28" stopIfTrue="1" operator="equal">
      <formula>"高"</formula>
    </cfRule>
    <cfRule type="cellIs" dxfId="1" priority="27" stopIfTrue="1" operator="equal">
      <formula>"急"</formula>
    </cfRule>
  </conditionalFormatting>
  <conditionalFormatting sqref="H22">
    <cfRule type="cellIs" dxfId="0" priority="30" stopIfTrue="1" operator="equal">
      <formula>"重要"</formula>
    </cfRule>
    <cfRule type="cellIs" dxfId="1" priority="29" stopIfTrue="1" operator="equal">
      <formula>"非常重要"</formula>
    </cfRule>
  </conditionalFormatting>
  <conditionalFormatting sqref="K22">
    <cfRule type="cellIs" dxfId="4" priority="33" stopIfTrue="1" operator="equal">
      <formula>"解决中"</formula>
    </cfRule>
    <cfRule type="cellIs" dxfId="3" priority="32" stopIfTrue="1" operator="equal">
      <formula>"已解决"</formula>
    </cfRule>
    <cfRule type="cellIs" dxfId="2" priority="31" stopIfTrue="1" operator="equal">
      <formula>"已取消"</formula>
    </cfRule>
  </conditionalFormatting>
  <conditionalFormatting sqref="G23">
    <cfRule type="cellIs" dxfId="0" priority="21" stopIfTrue="1" operator="equal">
      <formula>"高"</formula>
    </cfRule>
    <cfRule type="cellIs" dxfId="1" priority="20" stopIfTrue="1" operator="equal">
      <formula>"急"</formula>
    </cfRule>
  </conditionalFormatting>
  <conditionalFormatting sqref="H23">
    <cfRule type="cellIs" dxfId="0" priority="23" stopIfTrue="1" operator="equal">
      <formula>"重要"</formula>
    </cfRule>
    <cfRule type="cellIs" dxfId="1" priority="22" stopIfTrue="1" operator="equal">
      <formula>"非常重要"</formula>
    </cfRule>
  </conditionalFormatting>
  <conditionalFormatting sqref="K23">
    <cfRule type="cellIs" dxfId="4" priority="26" stopIfTrue="1" operator="equal">
      <formula>"解决中"</formula>
    </cfRule>
    <cfRule type="cellIs" dxfId="3" priority="25" stopIfTrue="1" operator="equal">
      <formula>"已解决"</formula>
    </cfRule>
    <cfRule type="cellIs" dxfId="2" priority="24" stopIfTrue="1" operator="equal">
      <formula>"已取消"</formula>
    </cfRule>
  </conditionalFormatting>
  <conditionalFormatting sqref="G24">
    <cfRule type="cellIs" dxfId="0" priority="17" stopIfTrue="1" operator="equal">
      <formula>"高"</formula>
    </cfRule>
    <cfRule type="cellIs" dxfId="1" priority="16" stopIfTrue="1" operator="equal">
      <formula>"急"</formula>
    </cfRule>
  </conditionalFormatting>
  <conditionalFormatting sqref="H24">
    <cfRule type="cellIs" dxfId="0" priority="19" stopIfTrue="1" operator="equal">
      <formula>"重要"</formula>
    </cfRule>
    <cfRule type="cellIs" dxfId="1" priority="18" stopIfTrue="1" operator="equal">
      <formula>"非常重要"</formula>
    </cfRule>
  </conditionalFormatting>
  <conditionalFormatting sqref="G25">
    <cfRule type="cellIs" dxfId="0" priority="13" stopIfTrue="1" operator="equal">
      <formula>"高"</formula>
    </cfRule>
    <cfRule type="cellIs" dxfId="1" priority="12" stopIfTrue="1" operator="equal">
      <formula>"急"</formula>
    </cfRule>
  </conditionalFormatting>
  <conditionalFormatting sqref="H25">
    <cfRule type="cellIs" dxfId="0" priority="15" stopIfTrue="1" operator="equal">
      <formula>"重要"</formula>
    </cfRule>
    <cfRule type="cellIs" dxfId="1" priority="14" stopIfTrue="1" operator="equal">
      <formula>"非常重要"</formula>
    </cfRule>
  </conditionalFormatting>
  <conditionalFormatting sqref="G26">
    <cfRule type="cellIs" dxfId="0" priority="9" stopIfTrue="1" operator="equal">
      <formula>"高"</formula>
    </cfRule>
    <cfRule type="cellIs" dxfId="1" priority="8" stopIfTrue="1" operator="equal">
      <formula>"急"</formula>
    </cfRule>
  </conditionalFormatting>
  <conditionalFormatting sqref="H26">
    <cfRule type="cellIs" dxfId="0" priority="11" stopIfTrue="1" operator="equal">
      <formula>"重要"</formula>
    </cfRule>
    <cfRule type="cellIs" dxfId="1" priority="10" stopIfTrue="1" operator="equal">
      <formula>"非常重要"</formula>
    </cfRule>
  </conditionalFormatting>
  <conditionalFormatting sqref="G27">
    <cfRule type="cellIs" dxfId="0" priority="5" stopIfTrue="1" operator="equal">
      <formula>"高"</formula>
    </cfRule>
    <cfRule type="cellIs" dxfId="1" priority="4" stopIfTrue="1" operator="equal">
      <formula>"急"</formula>
    </cfRule>
  </conditionalFormatting>
  <conditionalFormatting sqref="H27">
    <cfRule type="cellIs" dxfId="0" priority="7" stopIfTrue="1" operator="equal">
      <formula>"重要"</formula>
    </cfRule>
    <cfRule type="cellIs" dxfId="1" priority="6" stopIfTrue="1" operator="equal">
      <formula>"非常重要"</formula>
    </cfRule>
  </conditionalFormatting>
  <conditionalFormatting sqref="K27">
    <cfRule type="cellIs" dxfId="4" priority="3" stopIfTrue="1" operator="equal">
      <formula>"解决中"</formula>
    </cfRule>
    <cfRule type="cellIs" dxfId="3" priority="2" stopIfTrue="1" operator="equal">
      <formula>"已解决"</formula>
    </cfRule>
    <cfRule type="cellIs" dxfId="2" priority="1" stopIfTrue="1" operator="equal">
      <formula>"已取消"</formula>
    </cfRule>
  </conditionalFormatting>
  <conditionalFormatting sqref="K10:K11">
    <cfRule type="cellIs" dxfId="2" priority="103" stopIfTrue="1" operator="equal">
      <formula>"已取消"</formula>
    </cfRule>
    <cfRule type="cellIs" dxfId="3" priority="104" stopIfTrue="1" operator="equal">
      <formula>"已解决"</formula>
    </cfRule>
    <cfRule type="cellIs" dxfId="4" priority="105" stopIfTrue="1" operator="equal">
      <formula>"解决中"</formula>
    </cfRule>
  </conditionalFormatting>
  <conditionalFormatting sqref="K24:K26">
    <cfRule type="cellIs" dxfId="2" priority="38" stopIfTrue="1" operator="equal">
      <formula>"已取消"</formula>
    </cfRule>
    <cfRule type="cellIs" dxfId="3" priority="39" stopIfTrue="1" operator="equal">
      <formula>"已解决"</formula>
    </cfRule>
    <cfRule type="cellIs" dxfId="4" priority="40" stopIfTrue="1" operator="equal">
      <formula>"解决中"</formula>
    </cfRule>
  </conditionalFormatting>
  <conditionalFormatting sqref="H2:H8 H19 H28:H65554">
    <cfRule type="cellIs" dxfId="1" priority="117" stopIfTrue="1" operator="equal">
      <formula>"非常重要"</formula>
    </cfRule>
    <cfRule type="cellIs" dxfId="0" priority="118" stopIfTrue="1" operator="equal">
      <formula>"重要"</formula>
    </cfRule>
  </conditionalFormatting>
  <conditionalFormatting sqref="G3:G8 G19 G28:G65554">
    <cfRule type="cellIs" dxfId="1" priority="112" stopIfTrue="1" operator="equal">
      <formula>"急"</formula>
    </cfRule>
    <cfRule type="cellIs" dxfId="0" priority="113" stopIfTrue="1" operator="equal">
      <formula>"高"</formula>
    </cfRule>
  </conditionalFormatting>
  <conditionalFormatting sqref="K3:K8 K15:K21 K28:K65554">
    <cfRule type="cellIs" dxfId="2" priority="114" stopIfTrue="1" operator="equal">
      <formula>"已取消"</formula>
    </cfRule>
    <cfRule type="cellIs" dxfId="3" priority="115" stopIfTrue="1" operator="equal">
      <formula>"已解决"</formula>
    </cfRule>
    <cfRule type="cellIs" dxfId="4" priority="116" stopIfTrue="1" operator="equal">
      <formula>"解决中"</formula>
    </cfRule>
  </conditionalFormatting>
  <dataValidations count="4">
    <dataValidation type="list" allowBlank="1" showInputMessage="1" showErrorMessage="1" sqref="K3 K9 K12 K13 K14 K15 K16 K17 K18 K22 K23 K26 K27 K4:K8 K10:K11 K19:K21 K24:K25 K28:K34 K35:K65554">
      <formula1>Status</formula1>
    </dataValidation>
    <dataValidation type="list" allowBlank="1" showInputMessage="1" showErrorMessage="1" sqref="G8 G9 G10 G11 G12 G13 G14 G15 G16 G17 G18 G19 G20 G21 G22 G23 G24 G25 G26 G27 G3:G7 G28:G34 G35:G65554">
      <formula1>Priority</formula1>
    </dataValidation>
    <dataValidation type="list" allowBlank="1" showInputMessage="1" showErrorMessage="1" sqref="H8 H9 H10 H11 H12 H13 H14 H15 H16 H17 H18 H19 H20 H21 H22 H23 H24 H25 H26 H27 H3:H7 H28:H34 H35:H65554">
      <formula1>重要性</formula1>
    </dataValidation>
    <dataValidation type="list" allowBlank="1" showInputMessage="1" showErrorMessage="1" sqref="C11 C12 C13 C14 C15 C16 C17 C18 C19 C20 C21 C22 C26 C27 C3:C7 C8:C10 C23:C25 C28:C34 C35:C65554">
      <formula1>Attrib</formula1>
    </dataValidation>
  </dataValidations>
  <printOptions horizontalCentered="1"/>
  <pageMargins left="0.235416666666667" right="0.235416666666667" top="0.85" bottom="0.5" header="0.388888888888889" footer="0.209027777777778"/>
  <pageSetup paperSize="9" scale="91" fitToHeight="0" orientation="landscape" horizontalDpi="600" verticalDpi="600"/>
  <headerFooter alignWithMargins="0">
    <oddHeader>&amp;C&amp;"Arial,Bold"&amp;12&amp;A</oddHeader>
    <oddFooter>&amp;L打印日期:&amp;D&amp;R&amp;P /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24"/>
  <sheetViews>
    <sheetView workbookViewId="0">
      <pane xSplit="2" ySplit="2" topLeftCell="C5" activePane="bottomRight" state="frozen"/>
      <selection/>
      <selection pane="topRight"/>
      <selection pane="bottomLeft"/>
      <selection pane="bottomRight" activeCell="B8" sqref="B8"/>
    </sheetView>
  </sheetViews>
  <sheetFormatPr defaultColWidth="8" defaultRowHeight="21" customHeight="1"/>
  <cols>
    <col min="1" max="1" width="4.08333333333333" style="8" customWidth="1"/>
    <col min="2" max="2" width="30.0833333333333" style="6" customWidth="1"/>
    <col min="3" max="3" width="8.75" style="8"/>
    <col min="4" max="4" width="9.25" style="8" customWidth="1"/>
    <col min="5" max="6" width="8.75" style="9" customWidth="1"/>
    <col min="7" max="8" width="5.75" style="8" customWidth="1"/>
    <col min="9" max="9" width="7.5" style="8" customWidth="1"/>
    <col min="10" max="10" width="23.1666666666667" style="6" customWidth="1"/>
    <col min="11" max="11" width="7.58333333333333" style="8" customWidth="1"/>
    <col min="12" max="12" width="8.75" style="9" customWidth="1"/>
    <col min="13" max="14" width="16.5" style="9" customWidth="1"/>
    <col min="15" max="15" width="22" style="6" customWidth="1"/>
    <col min="16" max="16384" width="8" style="6"/>
  </cols>
  <sheetData>
    <row r="1" ht="33" customHeight="1" spans="1:15">
      <c r="A1" s="10" t="s">
        <v>25</v>
      </c>
      <c r="B1" s="10"/>
      <c r="C1" s="10"/>
      <c r="D1" s="10"/>
      <c r="E1" s="10"/>
      <c r="F1" s="10"/>
      <c r="G1" s="10"/>
      <c r="H1" s="10"/>
      <c r="I1" s="10"/>
      <c r="J1" s="10"/>
      <c r="K1" s="10"/>
      <c r="L1" s="10"/>
      <c r="M1" s="10"/>
      <c r="N1" s="10"/>
      <c r="O1" s="10"/>
    </row>
    <row r="2" s="4" customFormat="1" ht="26.25" customHeight="1" spans="1:15">
      <c r="A2" s="51" t="s">
        <v>26</v>
      </c>
      <c r="B2" s="51" t="s">
        <v>27</v>
      </c>
      <c r="C2" s="51" t="s">
        <v>28</v>
      </c>
      <c r="D2" s="51" t="s">
        <v>29</v>
      </c>
      <c r="E2" s="52" t="s">
        <v>30</v>
      </c>
      <c r="F2" s="12" t="s">
        <v>31</v>
      </c>
      <c r="G2" s="51" t="s">
        <v>32</v>
      </c>
      <c r="H2" s="51" t="s">
        <v>33</v>
      </c>
      <c r="I2" s="51" t="s">
        <v>34</v>
      </c>
      <c r="J2" s="51" t="s">
        <v>35</v>
      </c>
      <c r="K2" s="51" t="s">
        <v>36</v>
      </c>
      <c r="L2" s="52" t="s">
        <v>37</v>
      </c>
      <c r="M2" s="52" t="s">
        <v>38</v>
      </c>
      <c r="N2" s="52" t="s">
        <v>72</v>
      </c>
      <c r="O2" s="51" t="s">
        <v>40</v>
      </c>
    </row>
    <row r="3" ht="77" hidden="1" customHeight="1" spans="1:15">
      <c r="A3" s="13">
        <v>1</v>
      </c>
      <c r="B3" s="14" t="s">
        <v>136</v>
      </c>
      <c r="C3" s="15" t="s">
        <v>2</v>
      </c>
      <c r="D3" s="15" t="s">
        <v>137</v>
      </c>
      <c r="E3" s="16">
        <v>43252</v>
      </c>
      <c r="F3" s="16">
        <v>43262</v>
      </c>
      <c r="G3" s="15" t="s">
        <v>43</v>
      </c>
      <c r="H3" s="15" t="s">
        <v>44</v>
      </c>
      <c r="I3" s="15" t="s">
        <v>138</v>
      </c>
      <c r="J3" s="14" t="s">
        <v>139</v>
      </c>
      <c r="K3" s="15" t="s">
        <v>20</v>
      </c>
      <c r="L3" s="49">
        <v>43255</v>
      </c>
      <c r="M3" s="14" t="s">
        <v>140</v>
      </c>
      <c r="N3" s="14"/>
      <c r="O3" s="53" t="s">
        <v>141</v>
      </c>
    </row>
    <row r="4" s="7" customFormat="1" ht="72" hidden="1" spans="1:15">
      <c r="A4" s="22">
        <f>MAX($A$3:A3)+1</f>
        <v>2</v>
      </c>
      <c r="B4" s="46" t="s">
        <v>142</v>
      </c>
      <c r="C4" s="24" t="s">
        <v>4</v>
      </c>
      <c r="D4" s="24" t="s">
        <v>137</v>
      </c>
      <c r="E4" s="25">
        <v>43230</v>
      </c>
      <c r="F4" s="25">
        <v>43245</v>
      </c>
      <c r="G4" s="24" t="s">
        <v>43</v>
      </c>
      <c r="H4" s="24" t="s">
        <v>58</v>
      </c>
      <c r="I4" s="24" t="s">
        <v>143</v>
      </c>
      <c r="J4" s="46" t="s">
        <v>144</v>
      </c>
      <c r="K4" s="24" t="s">
        <v>20</v>
      </c>
      <c r="L4" s="25">
        <v>43245</v>
      </c>
      <c r="M4" s="46"/>
      <c r="N4" s="46"/>
      <c r="O4" s="23" t="s">
        <v>145</v>
      </c>
    </row>
    <row r="5" s="5" customFormat="1" ht="35" customHeight="1" spans="1:15">
      <c r="A5" s="13">
        <f>MAX($A$3:A4)+1</f>
        <v>3</v>
      </c>
      <c r="B5" s="14" t="s">
        <v>146</v>
      </c>
      <c r="C5" s="18" t="s">
        <v>2</v>
      </c>
      <c r="D5" s="18" t="s">
        <v>137</v>
      </c>
      <c r="E5" s="19">
        <v>43266</v>
      </c>
      <c r="F5" s="19"/>
      <c r="G5" s="18" t="s">
        <v>43</v>
      </c>
      <c r="H5" s="18" t="s">
        <v>44</v>
      </c>
      <c r="I5" s="18" t="s">
        <v>42</v>
      </c>
      <c r="J5" s="14"/>
      <c r="K5" s="18" t="s">
        <v>19</v>
      </c>
      <c r="L5" s="19"/>
      <c r="M5" s="14"/>
      <c r="N5" s="14" t="s">
        <v>147</v>
      </c>
      <c r="O5" s="38"/>
    </row>
    <row r="6" s="7" customFormat="1" ht="23" customHeight="1" spans="1:15">
      <c r="A6" s="22">
        <f>MAX($A$3:A5)+1</f>
        <v>4</v>
      </c>
      <c r="B6" s="40" t="s">
        <v>148</v>
      </c>
      <c r="C6" s="24" t="s">
        <v>2</v>
      </c>
      <c r="D6" s="24" t="s">
        <v>137</v>
      </c>
      <c r="E6" s="25">
        <v>43287</v>
      </c>
      <c r="F6" s="25"/>
      <c r="G6" s="24" t="s">
        <v>133</v>
      </c>
      <c r="H6" s="24" t="s">
        <v>58</v>
      </c>
      <c r="I6" s="24" t="s">
        <v>42</v>
      </c>
      <c r="J6" s="46"/>
      <c r="K6" s="24" t="s">
        <v>19</v>
      </c>
      <c r="L6" s="25"/>
      <c r="M6" s="25"/>
      <c r="N6" s="25" t="s">
        <v>149</v>
      </c>
      <c r="O6" s="41"/>
    </row>
    <row r="7" ht="21.75" customHeight="1" spans="1:15">
      <c r="A7" s="13">
        <f>MAX($A$3:A6)+1</f>
        <v>5</v>
      </c>
      <c r="B7" s="26" t="s">
        <v>150</v>
      </c>
      <c r="C7" s="15" t="s">
        <v>2</v>
      </c>
      <c r="D7" s="15" t="s">
        <v>48</v>
      </c>
      <c r="E7" s="16">
        <v>43313</v>
      </c>
      <c r="F7" s="16">
        <v>43328</v>
      </c>
      <c r="G7" s="15" t="s">
        <v>43</v>
      </c>
      <c r="H7" s="15" t="s">
        <v>44</v>
      </c>
      <c r="I7" s="15" t="s">
        <v>42</v>
      </c>
      <c r="J7" s="27"/>
      <c r="K7" s="15" t="s">
        <v>18</v>
      </c>
      <c r="L7" s="16"/>
      <c r="M7" s="16"/>
      <c r="N7" s="16"/>
      <c r="O7" s="37"/>
    </row>
    <row r="8" ht="21.75" customHeight="1" spans="1:15">
      <c r="A8" s="13">
        <f>MAX($A$3:A7)+1</f>
        <v>6</v>
      </c>
      <c r="B8" s="26"/>
      <c r="C8" s="15"/>
      <c r="D8" s="15"/>
      <c r="E8" s="16"/>
      <c r="F8" s="16"/>
      <c r="G8" s="15"/>
      <c r="H8" s="15"/>
      <c r="I8" s="15"/>
      <c r="J8" s="27"/>
      <c r="K8" s="15"/>
      <c r="L8" s="16"/>
      <c r="M8" s="16"/>
      <c r="N8" s="16"/>
      <c r="O8" s="37"/>
    </row>
    <row r="9" ht="21.75" customHeight="1" spans="1:15">
      <c r="A9" s="13">
        <f>MAX($A$3:A8)+1</f>
        <v>7</v>
      </c>
      <c r="B9" s="26"/>
      <c r="C9" s="15"/>
      <c r="D9" s="15"/>
      <c r="E9" s="16"/>
      <c r="F9" s="16"/>
      <c r="G9" s="15"/>
      <c r="H9" s="15"/>
      <c r="I9" s="15"/>
      <c r="J9" s="27"/>
      <c r="K9" s="15"/>
      <c r="L9" s="16"/>
      <c r="M9" s="16"/>
      <c r="N9" s="16"/>
      <c r="O9" s="37"/>
    </row>
    <row r="10" ht="21.75" customHeight="1" spans="1:15">
      <c r="A10" s="13">
        <f>MAX($A$3:A9)+1</f>
        <v>8</v>
      </c>
      <c r="B10" s="26"/>
      <c r="C10" s="15"/>
      <c r="D10" s="15"/>
      <c r="E10" s="16"/>
      <c r="F10" s="16"/>
      <c r="G10" s="15"/>
      <c r="H10" s="15"/>
      <c r="I10" s="15"/>
      <c r="J10" s="27"/>
      <c r="K10" s="15"/>
      <c r="L10" s="16"/>
      <c r="M10" s="16"/>
      <c r="N10" s="16"/>
      <c r="O10" s="37"/>
    </row>
    <row r="11" ht="21.75" customHeight="1" spans="1:15">
      <c r="A11" s="13">
        <f>MAX($A$3:A10)+1</f>
        <v>9</v>
      </c>
      <c r="B11" s="26"/>
      <c r="C11" s="15"/>
      <c r="D11" s="15"/>
      <c r="E11" s="16"/>
      <c r="F11" s="16"/>
      <c r="G11" s="15"/>
      <c r="H11" s="15"/>
      <c r="I11" s="15"/>
      <c r="J11" s="27"/>
      <c r="K11" s="15"/>
      <c r="L11" s="16"/>
      <c r="M11" s="16"/>
      <c r="N11" s="16"/>
      <c r="O11" s="37"/>
    </row>
    <row r="12" ht="21.75" customHeight="1" spans="1:15">
      <c r="A12" s="13">
        <f>MAX($A$3:A11)+1</f>
        <v>10</v>
      </c>
      <c r="B12" s="26"/>
      <c r="C12" s="15"/>
      <c r="D12" s="15"/>
      <c r="E12" s="16"/>
      <c r="F12" s="16"/>
      <c r="G12" s="15"/>
      <c r="H12" s="15"/>
      <c r="I12" s="15"/>
      <c r="J12" s="27"/>
      <c r="K12" s="15"/>
      <c r="L12" s="16"/>
      <c r="M12" s="16"/>
      <c r="N12" s="16"/>
      <c r="O12" s="37"/>
    </row>
    <row r="13" ht="21.75" customHeight="1" spans="1:2">
      <c r="A13" s="28" t="s">
        <v>62</v>
      </c>
      <c r="B13" s="29" t="s">
        <v>63</v>
      </c>
    </row>
    <row r="14" ht="21.75" customHeight="1" spans="1:2">
      <c r="A14" s="30" t="s">
        <v>64</v>
      </c>
      <c r="B14" s="31" t="s">
        <v>65</v>
      </c>
    </row>
    <row r="15" ht="21.75" customHeight="1" spans="1:2">
      <c r="A15" s="32" t="s">
        <v>66</v>
      </c>
      <c r="B15" s="31" t="s">
        <v>67</v>
      </c>
    </row>
    <row r="16" ht="21.75" customHeight="1" spans="1:2">
      <c r="A16" s="33" t="s">
        <v>68</v>
      </c>
      <c r="B16" s="34" t="s">
        <v>69</v>
      </c>
    </row>
    <row r="17" ht="21.75" customHeight="1" spans="1:2">
      <c r="A17" s="35"/>
      <c r="B17" s="34" t="s">
        <v>70</v>
      </c>
    </row>
    <row r="18" ht="21.75" customHeight="1" spans="1:2">
      <c r="A18" s="35"/>
      <c r="B18" s="34" t="s">
        <v>71</v>
      </c>
    </row>
    <row r="19" ht="21.75" customHeight="1" spans="1:2">
      <c r="A19" s="36" t="s">
        <v>72</v>
      </c>
      <c r="B19" s="34" t="s">
        <v>73</v>
      </c>
    </row>
    <row r="20" ht="21.75" customHeight="1"/>
    <row r="21" ht="21.75" customHeight="1"/>
    <row r="22" ht="21.75" customHeight="1"/>
    <row r="23" ht="21.75" customHeight="1"/>
    <row r="24" ht="21.75" customHeight="1"/>
  </sheetData>
  <autoFilter ref="A2:O19">
    <filterColumn colId="10">
      <filters blank="1">
        <filter val="已分配"/>
        <filter val="解决中"/>
      </filters>
    </filterColumn>
    <extLst/>
  </autoFilter>
  <mergeCells count="1">
    <mergeCell ref="A1:O1"/>
  </mergeCells>
  <conditionalFormatting sqref="G4">
    <cfRule type="cellIs" dxfId="0" priority="13" stopIfTrue="1" operator="equal">
      <formula>"高"</formula>
    </cfRule>
    <cfRule type="cellIs" dxfId="1" priority="12" stopIfTrue="1" operator="equal">
      <formula>"急"</formula>
    </cfRule>
  </conditionalFormatting>
  <conditionalFormatting sqref="H4">
    <cfRule type="cellIs" dxfId="0" priority="18" stopIfTrue="1" operator="equal">
      <formula>"重要"</formula>
    </cfRule>
    <cfRule type="cellIs" dxfId="1" priority="17" stopIfTrue="1" operator="equal">
      <formula>"非常重要"</formula>
    </cfRule>
  </conditionalFormatting>
  <conditionalFormatting sqref="K4">
    <cfRule type="cellIs" dxfId="4" priority="16" stopIfTrue="1" operator="equal">
      <formula>"解决中"</formula>
    </cfRule>
    <cfRule type="cellIs" dxfId="3" priority="15" stopIfTrue="1" operator="equal">
      <formula>"已解决"</formula>
    </cfRule>
    <cfRule type="cellIs" dxfId="2" priority="14" stopIfTrue="1" operator="equal">
      <formula>"已取消"</formula>
    </cfRule>
  </conditionalFormatting>
  <conditionalFormatting sqref="G5">
    <cfRule type="cellIs" dxfId="0" priority="9" stopIfTrue="1" operator="equal">
      <formula>"高"</formula>
    </cfRule>
    <cfRule type="cellIs" dxfId="1" priority="8" stopIfTrue="1" operator="equal">
      <formula>"急"</formula>
    </cfRule>
  </conditionalFormatting>
  <conditionalFormatting sqref="G6">
    <cfRule type="cellIs" dxfId="0" priority="2" stopIfTrue="1" operator="equal">
      <formula>"高"</formula>
    </cfRule>
    <cfRule type="cellIs" dxfId="1" priority="1" stopIfTrue="1" operator="equal">
      <formula>"急"</formula>
    </cfRule>
  </conditionalFormatting>
  <conditionalFormatting sqref="K6">
    <cfRule type="cellIs" dxfId="4" priority="7" stopIfTrue="1" operator="equal">
      <formula>"解决中"</formula>
    </cfRule>
    <cfRule type="cellIs" dxfId="3" priority="6" stopIfTrue="1" operator="equal">
      <formula>"已解决"</formula>
    </cfRule>
    <cfRule type="cellIs" dxfId="2" priority="5" stopIfTrue="1" operator="equal">
      <formula>"已取消"</formula>
    </cfRule>
  </conditionalFormatting>
  <conditionalFormatting sqref="H5:H6">
    <cfRule type="cellIs" dxfId="0" priority="11" stopIfTrue="1" operator="equal">
      <formula>"重要"</formula>
    </cfRule>
    <cfRule type="cellIs" dxfId="1" priority="10" stopIfTrue="1" operator="equal">
      <formula>"非常重要"</formula>
    </cfRule>
  </conditionalFormatting>
  <conditionalFormatting sqref="H2:H3 H7:H65534">
    <cfRule type="cellIs" dxfId="1" priority="24" stopIfTrue="1" operator="equal">
      <formula>"非常重要"</formula>
    </cfRule>
    <cfRule type="cellIs" dxfId="0" priority="25" stopIfTrue="1" operator="equal">
      <formula>"重要"</formula>
    </cfRule>
  </conditionalFormatting>
  <conditionalFormatting sqref="G3 G7:G65534">
    <cfRule type="cellIs" dxfId="1" priority="19" stopIfTrue="1" operator="equal">
      <formula>"急"</formula>
    </cfRule>
    <cfRule type="cellIs" dxfId="0" priority="20" stopIfTrue="1" operator="equal">
      <formula>"高"</formula>
    </cfRule>
  </conditionalFormatting>
  <conditionalFormatting sqref="K3 K5 K7:K65534">
    <cfRule type="cellIs" dxfId="2" priority="21" stopIfTrue="1" operator="equal">
      <formula>"已取消"</formula>
    </cfRule>
    <cfRule type="cellIs" dxfId="3" priority="22" stopIfTrue="1" operator="equal">
      <formula>"已解决"</formula>
    </cfRule>
    <cfRule type="cellIs" dxfId="4" priority="23" stopIfTrue="1" operator="equal">
      <formula>"解决中"</formula>
    </cfRule>
  </conditionalFormatting>
  <dataValidations count="4">
    <dataValidation type="list" allowBlank="1" showInputMessage="1" showErrorMessage="1" sqref="C3 C4 C5 C6:C7 C8:C65534">
      <formula1>Attrib</formula1>
    </dataValidation>
    <dataValidation type="list" allowBlank="1" showInputMessage="1" showErrorMessage="1" sqref="G3 G4 G5 G6 G7 G8:G65534">
      <formula1>Priority</formula1>
    </dataValidation>
    <dataValidation type="list" allowBlank="1" showInputMessage="1" showErrorMessage="1" sqref="H3 H4 H7 H5:H6 H8:H65534">
      <formula1>重要性</formula1>
    </dataValidation>
    <dataValidation type="list" allowBlank="1" showInputMessage="1" showErrorMessage="1" sqref="K3 K4 K5 K6 K7 K8:K65534">
      <formula1>Status</formula1>
    </dataValidation>
  </dataValidation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workbookViewId="0">
      <pane xSplit="2" ySplit="2" topLeftCell="C11" activePane="bottomRight" state="frozen"/>
      <selection/>
      <selection pane="topRight"/>
      <selection pane="bottomLeft"/>
      <selection pane="bottomRight" activeCell="J12" sqref="J12"/>
    </sheetView>
  </sheetViews>
  <sheetFormatPr defaultColWidth="8" defaultRowHeight="21" customHeight="1"/>
  <cols>
    <col min="1" max="1" width="4.83333333333333" style="8" customWidth="1"/>
    <col min="2" max="2" width="39.25" style="6" customWidth="1"/>
    <col min="3" max="3" width="8.75" style="8"/>
    <col min="4" max="4" width="9.25" style="8" customWidth="1"/>
    <col min="5" max="6" width="8.75" style="9" customWidth="1"/>
    <col min="7" max="8" width="5.75" style="8" customWidth="1"/>
    <col min="9" max="9" width="13.6666666666667" style="8" customWidth="1"/>
    <col min="10" max="10" width="23.75" style="6" customWidth="1"/>
    <col min="11" max="11" width="7.58333333333333" style="8" customWidth="1"/>
    <col min="12" max="12" width="8.75" style="9" customWidth="1"/>
    <col min="13" max="14" width="16.5" style="9" customWidth="1"/>
    <col min="15" max="15" width="22" style="6" customWidth="1"/>
    <col min="16" max="16384" width="8" style="6"/>
  </cols>
  <sheetData>
    <row r="1" ht="30.75" customHeight="1" spans="1:15">
      <c r="A1" s="10" t="s">
        <v>25</v>
      </c>
      <c r="B1" s="10"/>
      <c r="C1" s="10"/>
      <c r="D1" s="10"/>
      <c r="E1" s="10"/>
      <c r="F1" s="10"/>
      <c r="G1" s="10"/>
      <c r="H1" s="10"/>
      <c r="I1" s="10"/>
      <c r="J1" s="10"/>
      <c r="K1" s="10"/>
      <c r="L1" s="10"/>
      <c r="M1" s="10"/>
      <c r="N1" s="10"/>
      <c r="O1" s="10"/>
    </row>
    <row r="2" s="4" customFormat="1" ht="26.25" customHeight="1" spans="1:15">
      <c r="A2" s="11" t="s">
        <v>26</v>
      </c>
      <c r="B2" s="11" t="s">
        <v>27</v>
      </c>
      <c r="C2" s="11" t="s">
        <v>28</v>
      </c>
      <c r="D2" s="11" t="s">
        <v>29</v>
      </c>
      <c r="E2" s="12" t="s">
        <v>30</v>
      </c>
      <c r="F2" s="12" t="s">
        <v>31</v>
      </c>
      <c r="G2" s="11" t="s">
        <v>32</v>
      </c>
      <c r="H2" s="11" t="s">
        <v>33</v>
      </c>
      <c r="I2" s="11" t="s">
        <v>34</v>
      </c>
      <c r="J2" s="11" t="s">
        <v>35</v>
      </c>
      <c r="K2" s="11" t="s">
        <v>36</v>
      </c>
      <c r="L2" s="12" t="s">
        <v>37</v>
      </c>
      <c r="M2" s="12" t="s">
        <v>38</v>
      </c>
      <c r="N2" s="12" t="s">
        <v>72</v>
      </c>
      <c r="O2" s="11" t="s">
        <v>40</v>
      </c>
    </row>
    <row r="3" s="6" customFormat="1" ht="36" spans="1:15">
      <c r="A3" s="21">
        <v>1</v>
      </c>
      <c r="B3" s="14" t="s">
        <v>151</v>
      </c>
      <c r="C3" s="15" t="s">
        <v>2</v>
      </c>
      <c r="D3" s="15" t="s">
        <v>42</v>
      </c>
      <c r="E3" s="16">
        <v>43252</v>
      </c>
      <c r="F3" s="16">
        <v>43262</v>
      </c>
      <c r="G3" s="15" t="s">
        <v>43</v>
      </c>
      <c r="H3" s="15" t="s">
        <v>44</v>
      </c>
      <c r="I3" s="15"/>
      <c r="J3" s="47" t="s">
        <v>152</v>
      </c>
      <c r="K3" s="15" t="s">
        <v>20</v>
      </c>
      <c r="L3" s="16">
        <v>43256</v>
      </c>
      <c r="M3" s="16" t="s">
        <v>153</v>
      </c>
      <c r="N3" s="16"/>
      <c r="O3" s="39"/>
    </row>
    <row r="4" customHeight="1" spans="1:15">
      <c r="A4" s="13">
        <f>MAX($A$3:A3)+1</f>
        <v>2</v>
      </c>
      <c r="B4" s="26" t="s">
        <v>154</v>
      </c>
      <c r="C4" s="15" t="s">
        <v>3</v>
      </c>
      <c r="D4" s="15" t="s">
        <v>42</v>
      </c>
      <c r="E4" s="16">
        <v>43256</v>
      </c>
      <c r="F4" s="16">
        <v>43262</v>
      </c>
      <c r="G4" s="15" t="s">
        <v>43</v>
      </c>
      <c r="H4" s="15" t="s">
        <v>44</v>
      </c>
      <c r="I4" s="15" t="s">
        <v>42</v>
      </c>
      <c r="J4" s="27" t="s">
        <v>155</v>
      </c>
      <c r="K4" s="15" t="s">
        <v>20</v>
      </c>
      <c r="L4" s="16">
        <v>43291</v>
      </c>
      <c r="M4" s="16"/>
      <c r="N4" s="16"/>
      <c r="O4" s="37"/>
    </row>
    <row r="5" ht="32" customHeight="1" spans="1:15">
      <c r="A5" s="13">
        <f>MAX($A$3:A4)+1</f>
        <v>3</v>
      </c>
      <c r="B5" s="26" t="s">
        <v>156</v>
      </c>
      <c r="C5" s="15" t="s">
        <v>3</v>
      </c>
      <c r="D5" s="15" t="s">
        <v>157</v>
      </c>
      <c r="E5" s="16">
        <v>43264</v>
      </c>
      <c r="F5" s="16">
        <v>43270</v>
      </c>
      <c r="G5" s="15" t="s">
        <v>43</v>
      </c>
      <c r="H5" s="15" t="s">
        <v>44</v>
      </c>
      <c r="I5" s="15"/>
      <c r="J5" s="27" t="s">
        <v>158</v>
      </c>
      <c r="K5" s="15" t="s">
        <v>20</v>
      </c>
      <c r="L5" s="16">
        <v>43273</v>
      </c>
      <c r="M5" s="16"/>
      <c r="N5" s="16"/>
      <c r="O5" s="37"/>
    </row>
    <row r="6" ht="24" spans="1:15">
      <c r="A6" s="21">
        <v>4</v>
      </c>
      <c r="B6" s="14" t="s">
        <v>159</v>
      </c>
      <c r="C6" s="15" t="s">
        <v>7</v>
      </c>
      <c r="D6" s="15" t="s">
        <v>160</v>
      </c>
      <c r="E6" s="16">
        <v>43264</v>
      </c>
      <c r="F6" s="16">
        <v>43277</v>
      </c>
      <c r="G6" s="15" t="s">
        <v>43</v>
      </c>
      <c r="H6" s="15" t="s">
        <v>44</v>
      </c>
      <c r="I6" s="15" t="s">
        <v>42</v>
      </c>
      <c r="J6" s="47"/>
      <c r="K6" s="15" t="s">
        <v>21</v>
      </c>
      <c r="L6" s="16"/>
      <c r="M6" s="16"/>
      <c r="N6" s="16"/>
      <c r="O6" s="39"/>
    </row>
    <row r="7" s="5" customFormat="1" customHeight="1" spans="1:15">
      <c r="A7" s="13">
        <v>5</v>
      </c>
      <c r="B7" s="26" t="s">
        <v>161</v>
      </c>
      <c r="C7" s="18" t="s">
        <v>2</v>
      </c>
      <c r="D7" s="18" t="s">
        <v>48</v>
      </c>
      <c r="E7" s="19">
        <v>43298</v>
      </c>
      <c r="F7" s="19">
        <v>43301</v>
      </c>
      <c r="G7" s="18" t="s">
        <v>49</v>
      </c>
      <c r="H7" s="18" t="s">
        <v>50</v>
      </c>
      <c r="I7" s="18" t="s">
        <v>59</v>
      </c>
      <c r="J7" s="26"/>
      <c r="K7" s="18" t="s">
        <v>19</v>
      </c>
      <c r="L7" s="19"/>
      <c r="M7" s="19"/>
      <c r="N7" s="19" t="s">
        <v>162</v>
      </c>
      <c r="O7" s="48" t="s">
        <v>163</v>
      </c>
    </row>
    <row r="8" ht="29" customHeight="1" spans="1:15">
      <c r="A8" s="13">
        <f>MAX($A$3:A7)+1</f>
        <v>6</v>
      </c>
      <c r="B8" s="26" t="s">
        <v>164</v>
      </c>
      <c r="C8" s="15" t="s">
        <v>2</v>
      </c>
      <c r="D8" s="15" t="s">
        <v>48</v>
      </c>
      <c r="E8" s="16">
        <v>43298</v>
      </c>
      <c r="F8" s="16">
        <v>43301</v>
      </c>
      <c r="G8" s="15" t="s">
        <v>43</v>
      </c>
      <c r="H8" s="15" t="s">
        <v>44</v>
      </c>
      <c r="I8" s="15" t="s">
        <v>165</v>
      </c>
      <c r="J8" s="27"/>
      <c r="K8" s="15" t="s">
        <v>20</v>
      </c>
      <c r="L8" s="16">
        <v>43293</v>
      </c>
      <c r="M8" s="16"/>
      <c r="N8" s="16"/>
      <c r="O8" s="37"/>
    </row>
    <row r="9" ht="24" spans="1:15">
      <c r="A9" s="13">
        <f>MAX($A$3:A8)+1</f>
        <v>7</v>
      </c>
      <c r="B9" s="45" t="s">
        <v>166</v>
      </c>
      <c r="C9" s="15" t="s">
        <v>3</v>
      </c>
      <c r="D9" s="15" t="s">
        <v>42</v>
      </c>
      <c r="E9" s="16">
        <v>43256</v>
      </c>
      <c r="F9" s="16">
        <v>43281</v>
      </c>
      <c r="G9" s="15" t="s">
        <v>43</v>
      </c>
      <c r="H9" s="15" t="s">
        <v>58</v>
      </c>
      <c r="I9" s="15" t="s">
        <v>167</v>
      </c>
      <c r="J9" s="27"/>
      <c r="K9" s="15" t="s">
        <v>20</v>
      </c>
      <c r="L9" s="16">
        <v>43286</v>
      </c>
      <c r="M9" s="16" t="s">
        <v>168</v>
      </c>
      <c r="N9" s="16"/>
      <c r="O9" s="39"/>
    </row>
    <row r="10" ht="41" customHeight="1" spans="1:15">
      <c r="A10" s="13">
        <f>MAX($A$3:A9)+1</f>
        <v>8</v>
      </c>
      <c r="B10" s="26" t="s">
        <v>169</v>
      </c>
      <c r="C10" s="15" t="s">
        <v>7</v>
      </c>
      <c r="D10" s="15" t="s">
        <v>160</v>
      </c>
      <c r="E10" s="16">
        <v>43264</v>
      </c>
      <c r="F10" s="16">
        <v>43277</v>
      </c>
      <c r="G10" s="15" t="s">
        <v>43</v>
      </c>
      <c r="H10" s="15" t="s">
        <v>44</v>
      </c>
      <c r="I10" s="15" t="s">
        <v>165</v>
      </c>
      <c r="K10" s="15" t="s">
        <v>20</v>
      </c>
      <c r="L10" s="16">
        <v>43284</v>
      </c>
      <c r="M10" s="27" t="s">
        <v>170</v>
      </c>
      <c r="N10" s="27"/>
      <c r="O10" s="37"/>
    </row>
    <row r="11" ht="39" customHeight="1" spans="1:15">
      <c r="A11" s="13">
        <f>MAX($A$3:A10)+1</f>
        <v>9</v>
      </c>
      <c r="B11" s="14" t="s">
        <v>171</v>
      </c>
      <c r="C11" s="15" t="s">
        <v>7</v>
      </c>
      <c r="D11" s="15" t="s">
        <v>42</v>
      </c>
      <c r="E11" s="16">
        <v>43245</v>
      </c>
      <c r="F11" s="16">
        <v>43262</v>
      </c>
      <c r="G11" s="15" t="s">
        <v>43</v>
      </c>
      <c r="H11" s="15" t="s">
        <v>44</v>
      </c>
      <c r="I11" s="15" t="s">
        <v>172</v>
      </c>
      <c r="J11" s="14"/>
      <c r="K11" s="15" t="s">
        <v>20</v>
      </c>
      <c r="L11" s="16">
        <v>43287</v>
      </c>
      <c r="M11" s="14"/>
      <c r="N11" s="14"/>
      <c r="O11" s="39"/>
    </row>
    <row r="12" ht="57" customHeight="1" spans="1:15">
      <c r="A12" s="13">
        <f>MAX($A$3:A11)+1</f>
        <v>10</v>
      </c>
      <c r="B12" s="14" t="s">
        <v>173</v>
      </c>
      <c r="C12" s="15" t="s">
        <v>7</v>
      </c>
      <c r="D12" s="15" t="s">
        <v>42</v>
      </c>
      <c r="E12" s="16">
        <v>43245</v>
      </c>
      <c r="F12" s="16">
        <v>43262</v>
      </c>
      <c r="G12" s="15" t="s">
        <v>43</v>
      </c>
      <c r="H12" s="15" t="s">
        <v>44</v>
      </c>
      <c r="I12" s="15" t="s">
        <v>174</v>
      </c>
      <c r="J12" s="14" t="s">
        <v>175</v>
      </c>
      <c r="K12" s="15" t="s">
        <v>20</v>
      </c>
      <c r="L12" s="16">
        <v>43287</v>
      </c>
      <c r="M12" s="14" t="s">
        <v>176</v>
      </c>
      <c r="N12" s="14"/>
      <c r="O12" s="37"/>
    </row>
    <row r="13" ht="46" customHeight="1" spans="1:15">
      <c r="A13" s="13">
        <f>MAX($A$3:A12)+1</f>
        <v>11</v>
      </c>
      <c r="B13" s="14" t="s">
        <v>177</v>
      </c>
      <c r="C13" s="15" t="s">
        <v>7</v>
      </c>
      <c r="D13" s="15" t="s">
        <v>56</v>
      </c>
      <c r="E13" s="16">
        <v>43262</v>
      </c>
      <c r="F13" s="16">
        <v>43277</v>
      </c>
      <c r="G13" s="15" t="s">
        <v>43</v>
      </c>
      <c r="H13" s="15" t="s">
        <v>44</v>
      </c>
      <c r="I13" s="15" t="s">
        <v>174</v>
      </c>
      <c r="J13" s="49" t="s">
        <v>178</v>
      </c>
      <c r="K13" s="15" t="s">
        <v>20</v>
      </c>
      <c r="L13" s="16">
        <v>43292</v>
      </c>
      <c r="M13" s="14"/>
      <c r="N13" s="14"/>
      <c r="O13" s="37"/>
    </row>
    <row r="14" ht="30" customHeight="1" spans="1:15">
      <c r="A14" s="13">
        <f>MAX($A$3:A13)+1</f>
        <v>12</v>
      </c>
      <c r="B14" s="46" t="s">
        <v>179</v>
      </c>
      <c r="C14" s="24" t="s">
        <v>7</v>
      </c>
      <c r="D14" s="24" t="s">
        <v>157</v>
      </c>
      <c r="E14" s="25">
        <v>43265</v>
      </c>
      <c r="F14" s="25" t="s">
        <v>180</v>
      </c>
      <c r="G14" s="24" t="s">
        <v>43</v>
      </c>
      <c r="H14" s="24" t="s">
        <v>44</v>
      </c>
      <c r="I14" s="24" t="s">
        <v>42</v>
      </c>
      <c r="J14" s="40" t="s">
        <v>181</v>
      </c>
      <c r="K14" s="24" t="s">
        <v>19</v>
      </c>
      <c r="L14" s="25"/>
      <c r="M14" s="46"/>
      <c r="N14" s="46" t="s">
        <v>182</v>
      </c>
      <c r="O14" s="50"/>
    </row>
    <row r="15" s="7" customFormat="1" ht="37" customHeight="1" spans="1:14">
      <c r="A15" s="22">
        <f>MAX($A$3:A14)+1</f>
        <v>13</v>
      </c>
      <c r="B15" s="46" t="s">
        <v>183</v>
      </c>
      <c r="C15" s="24" t="s">
        <v>4</v>
      </c>
      <c r="D15" s="24" t="s">
        <v>48</v>
      </c>
      <c r="E15" s="25">
        <v>43266</v>
      </c>
      <c r="F15" s="25"/>
      <c r="G15" s="24" t="s">
        <v>133</v>
      </c>
      <c r="H15" s="24" t="s">
        <v>58</v>
      </c>
      <c r="I15" s="24" t="s">
        <v>56</v>
      </c>
      <c r="J15" s="46" t="s">
        <v>184</v>
      </c>
      <c r="K15" s="24" t="s">
        <v>17</v>
      </c>
      <c r="L15" s="25"/>
      <c r="M15" s="46"/>
      <c r="N15" s="50" t="s">
        <v>185</v>
      </c>
    </row>
    <row r="16" customHeight="1" spans="1:15">
      <c r="A16" s="21">
        <f>MAX($A$3:A15)+1</f>
        <v>14</v>
      </c>
      <c r="B16" s="27"/>
      <c r="C16" s="15"/>
      <c r="D16" s="15"/>
      <c r="E16" s="16"/>
      <c r="F16" s="16"/>
      <c r="G16" s="15"/>
      <c r="H16" s="15"/>
      <c r="I16" s="15"/>
      <c r="J16" s="27"/>
      <c r="K16" s="15"/>
      <c r="L16" s="16"/>
      <c r="M16" s="16"/>
      <c r="N16" s="16"/>
      <c r="O16" s="37"/>
    </row>
    <row r="17" customHeight="1" spans="1:2">
      <c r="A17" s="28" t="s">
        <v>62</v>
      </c>
      <c r="B17" s="29" t="s">
        <v>63</v>
      </c>
    </row>
    <row r="18" customHeight="1" spans="1:2">
      <c r="A18" s="30" t="s">
        <v>64</v>
      </c>
      <c r="B18" s="31" t="s">
        <v>65</v>
      </c>
    </row>
    <row r="19" customHeight="1" spans="1:2">
      <c r="A19" s="32" t="s">
        <v>66</v>
      </c>
      <c r="B19" s="31" t="s">
        <v>67</v>
      </c>
    </row>
    <row r="20" customHeight="1" spans="1:2">
      <c r="A20" s="33" t="s">
        <v>68</v>
      </c>
      <c r="B20" s="34" t="s">
        <v>69</v>
      </c>
    </row>
    <row r="21" customHeight="1" spans="1:2">
      <c r="A21" s="35"/>
      <c r="B21" s="34" t="s">
        <v>70</v>
      </c>
    </row>
    <row r="22" customHeight="1" spans="1:2">
      <c r="A22" s="35"/>
      <c r="B22" s="34" t="s">
        <v>71</v>
      </c>
    </row>
    <row r="23" customHeight="1" spans="1:2">
      <c r="A23" s="36" t="s">
        <v>72</v>
      </c>
      <c r="B23" s="34" t="s">
        <v>73</v>
      </c>
    </row>
  </sheetData>
  <autoFilter ref="A2:O23">
    <extLst/>
  </autoFilter>
  <mergeCells count="1">
    <mergeCell ref="A1:O1"/>
  </mergeCells>
  <conditionalFormatting sqref="G3">
    <cfRule type="cellIs" dxfId="1" priority="73" stopIfTrue="1" operator="equal">
      <formula>"急"</formula>
    </cfRule>
    <cfRule type="cellIs" dxfId="0" priority="74" stopIfTrue="1" operator="equal">
      <formula>"高"</formula>
    </cfRule>
  </conditionalFormatting>
  <conditionalFormatting sqref="H3">
    <cfRule type="cellIs" dxfId="1" priority="78" stopIfTrue="1" operator="equal">
      <formula>"非常重要"</formula>
    </cfRule>
    <cfRule type="cellIs" dxfId="0" priority="79" stopIfTrue="1" operator="equal">
      <formula>"重要"</formula>
    </cfRule>
  </conditionalFormatting>
  <conditionalFormatting sqref="K3">
    <cfRule type="cellIs" dxfId="2" priority="75" stopIfTrue="1" operator="equal">
      <formula>"已取消"</formula>
    </cfRule>
    <cfRule type="cellIs" dxfId="3" priority="76" stopIfTrue="1" operator="equal">
      <formula>"已解决"</formula>
    </cfRule>
    <cfRule type="cellIs" dxfId="4" priority="77" stopIfTrue="1" operator="equal">
      <formula>"解决中"</formula>
    </cfRule>
  </conditionalFormatting>
  <conditionalFormatting sqref="G5">
    <cfRule type="cellIs" dxfId="0" priority="70" stopIfTrue="1" operator="equal">
      <formula>"高"</formula>
    </cfRule>
    <cfRule type="cellIs" dxfId="1" priority="69" stopIfTrue="1" operator="equal">
      <formula>"急"</formula>
    </cfRule>
  </conditionalFormatting>
  <conditionalFormatting sqref="H5">
    <cfRule type="cellIs" dxfId="0" priority="72" stopIfTrue="1" operator="equal">
      <formula>"重要"</formula>
    </cfRule>
    <cfRule type="cellIs" dxfId="1" priority="71" stopIfTrue="1" operator="equal">
      <formula>"非常重要"</formula>
    </cfRule>
  </conditionalFormatting>
  <conditionalFormatting sqref="G6">
    <cfRule type="cellIs" dxfId="0" priority="66" stopIfTrue="1" operator="equal">
      <formula>"高"</formula>
    </cfRule>
    <cfRule type="cellIs" dxfId="1" priority="65" stopIfTrue="1" operator="equal">
      <formula>"急"</formula>
    </cfRule>
  </conditionalFormatting>
  <conditionalFormatting sqref="H6">
    <cfRule type="cellIs" dxfId="0" priority="68" stopIfTrue="1" operator="equal">
      <formula>"重要"</formula>
    </cfRule>
    <cfRule type="cellIs" dxfId="1" priority="67" stopIfTrue="1" operator="equal">
      <formula>"非常重要"</formula>
    </cfRule>
  </conditionalFormatting>
  <conditionalFormatting sqref="G7">
    <cfRule type="cellIs" dxfId="0" priority="64" stopIfTrue="1" operator="equal">
      <formula>"高"</formula>
    </cfRule>
    <cfRule type="cellIs" dxfId="1" priority="63" stopIfTrue="1" operator="equal">
      <formula>"急"</formula>
    </cfRule>
  </conditionalFormatting>
  <conditionalFormatting sqref="H7">
    <cfRule type="cellIs" dxfId="0" priority="62" stopIfTrue="1" operator="equal">
      <formula>"重要"</formula>
    </cfRule>
    <cfRule type="cellIs" dxfId="1" priority="61" stopIfTrue="1" operator="equal">
      <formula>"非常重要"</formula>
    </cfRule>
  </conditionalFormatting>
  <conditionalFormatting sqref="G8">
    <cfRule type="cellIs" dxfId="0" priority="53" stopIfTrue="1" operator="equal">
      <formula>"高"</formula>
    </cfRule>
    <cfRule type="cellIs" dxfId="1" priority="52" stopIfTrue="1" operator="equal">
      <formula>"急"</formula>
    </cfRule>
  </conditionalFormatting>
  <conditionalFormatting sqref="H8">
    <cfRule type="cellIs" dxfId="0" priority="51" stopIfTrue="1" operator="equal">
      <formula>"重要"</formula>
    </cfRule>
    <cfRule type="cellIs" dxfId="1" priority="50" stopIfTrue="1" operator="equal">
      <formula>"非常重要"</formula>
    </cfRule>
  </conditionalFormatting>
  <conditionalFormatting sqref="K8">
    <cfRule type="cellIs" dxfId="4" priority="56" stopIfTrue="1" operator="equal">
      <formula>"解决中"</formula>
    </cfRule>
    <cfRule type="cellIs" dxfId="3" priority="55" stopIfTrue="1" operator="equal">
      <formula>"已解决"</formula>
    </cfRule>
    <cfRule type="cellIs" dxfId="2" priority="54" stopIfTrue="1" operator="equal">
      <formula>"已取消"</formula>
    </cfRule>
  </conditionalFormatting>
  <conditionalFormatting sqref="G9">
    <cfRule type="cellIs" dxfId="0" priority="41" stopIfTrue="1" operator="equal">
      <formula>"高"</formula>
    </cfRule>
    <cfRule type="cellIs" dxfId="1" priority="40" stopIfTrue="1" operator="equal">
      <formula>"急"</formula>
    </cfRule>
  </conditionalFormatting>
  <conditionalFormatting sqref="H9">
    <cfRule type="cellIs" dxfId="0" priority="46" stopIfTrue="1" operator="equal">
      <formula>"重要"</formula>
    </cfRule>
    <cfRule type="cellIs" dxfId="1" priority="45" stopIfTrue="1" operator="equal">
      <formula>"非常重要"</formula>
    </cfRule>
  </conditionalFormatting>
  <conditionalFormatting sqref="K9">
    <cfRule type="cellIs" dxfId="4" priority="44" stopIfTrue="1" operator="equal">
      <formula>"解决中"</formula>
    </cfRule>
    <cfRule type="cellIs" dxfId="3" priority="43" stopIfTrue="1" operator="equal">
      <formula>"已解决"</formula>
    </cfRule>
    <cfRule type="cellIs" dxfId="2" priority="42" stopIfTrue="1" operator="equal">
      <formula>"已取消"</formula>
    </cfRule>
  </conditionalFormatting>
  <conditionalFormatting sqref="G10">
    <cfRule type="cellIs" dxfId="0" priority="37" stopIfTrue="1" operator="equal">
      <formula>"高"</formula>
    </cfRule>
    <cfRule type="cellIs" dxfId="1" priority="36" stopIfTrue="1" operator="equal">
      <formula>"急"</formula>
    </cfRule>
  </conditionalFormatting>
  <conditionalFormatting sqref="H10">
    <cfRule type="cellIs" dxfId="0" priority="39" stopIfTrue="1" operator="equal">
      <formula>"重要"</formula>
    </cfRule>
    <cfRule type="cellIs" dxfId="1" priority="38" stopIfTrue="1" operator="equal">
      <formula>"非常重要"</formula>
    </cfRule>
  </conditionalFormatting>
  <conditionalFormatting sqref="K10">
    <cfRule type="cellIs" dxfId="4" priority="49" stopIfTrue="1" operator="equal">
      <formula>"解决中"</formula>
    </cfRule>
    <cfRule type="cellIs" dxfId="3" priority="48" stopIfTrue="1" operator="equal">
      <formula>"已解决"</formula>
    </cfRule>
    <cfRule type="cellIs" dxfId="2" priority="47" stopIfTrue="1" operator="equal">
      <formula>"已取消"</formula>
    </cfRule>
  </conditionalFormatting>
  <conditionalFormatting sqref="G13">
    <cfRule type="cellIs" dxfId="1" priority="19" stopIfTrue="1" operator="equal">
      <formula>"急"</formula>
    </cfRule>
    <cfRule type="cellIs" dxfId="0" priority="20" stopIfTrue="1" operator="equal">
      <formula>"高"</formula>
    </cfRule>
  </conditionalFormatting>
  <conditionalFormatting sqref="H13">
    <cfRule type="cellIs" dxfId="1" priority="24" stopIfTrue="1" operator="equal">
      <formula>"非常重要"</formula>
    </cfRule>
    <cfRule type="cellIs" dxfId="0" priority="25" stopIfTrue="1" operator="equal">
      <formula>"重要"</formula>
    </cfRule>
  </conditionalFormatting>
  <conditionalFormatting sqref="K13">
    <cfRule type="cellIs" dxfId="2" priority="21" stopIfTrue="1" operator="equal">
      <formula>"已取消"</formula>
    </cfRule>
    <cfRule type="cellIs" dxfId="3" priority="22" stopIfTrue="1" operator="equal">
      <formula>"已解决"</formula>
    </cfRule>
    <cfRule type="cellIs" dxfId="4" priority="23" stopIfTrue="1" operator="equal">
      <formula>"解决中"</formula>
    </cfRule>
  </conditionalFormatting>
  <conditionalFormatting sqref="G14">
    <cfRule type="cellIs" dxfId="1" priority="15" stopIfTrue="1" operator="equal">
      <formula>"急"</formula>
    </cfRule>
    <cfRule type="cellIs" dxfId="0" priority="16" stopIfTrue="1" operator="equal">
      <formula>"高"</formula>
    </cfRule>
  </conditionalFormatting>
  <conditionalFormatting sqref="H14">
    <cfRule type="cellIs" dxfId="1" priority="17" stopIfTrue="1" operator="equal">
      <formula>"非常重要"</formula>
    </cfRule>
    <cfRule type="cellIs" dxfId="0" priority="18" stopIfTrue="1" operator="equal">
      <formula>"重要"</formula>
    </cfRule>
  </conditionalFormatting>
  <conditionalFormatting sqref="K14">
    <cfRule type="cellIs" dxfId="2" priority="33" stopIfTrue="1" operator="equal">
      <formula>"已取消"</formula>
    </cfRule>
    <cfRule type="cellIs" dxfId="3" priority="34" stopIfTrue="1" operator="equal">
      <formula>"已解决"</formula>
    </cfRule>
    <cfRule type="cellIs" dxfId="4" priority="35" stopIfTrue="1" operator="equal">
      <formula>"解决中"</formula>
    </cfRule>
  </conditionalFormatting>
  <conditionalFormatting sqref="G15">
    <cfRule type="cellIs" dxfId="0" priority="2" stopIfTrue="1" operator="equal">
      <formula>"高"</formula>
    </cfRule>
    <cfRule type="cellIs" dxfId="1" priority="1" stopIfTrue="1" operator="equal">
      <formula>"急"</formula>
    </cfRule>
  </conditionalFormatting>
  <conditionalFormatting sqref="H15">
    <cfRule type="cellIs" dxfId="0" priority="4" stopIfTrue="1" operator="equal">
      <formula>"重要"</formula>
    </cfRule>
    <cfRule type="cellIs" dxfId="1" priority="3" stopIfTrue="1" operator="equal">
      <formula>"非常重要"</formula>
    </cfRule>
  </conditionalFormatting>
  <conditionalFormatting sqref="K15">
    <cfRule type="cellIs" dxfId="4" priority="7" stopIfTrue="1" operator="equal">
      <formula>"解决中"</formula>
    </cfRule>
    <cfRule type="cellIs" dxfId="3" priority="6" stopIfTrue="1" operator="equal">
      <formula>"已解决"</formula>
    </cfRule>
    <cfRule type="cellIs" dxfId="2" priority="5" stopIfTrue="1" operator="equal">
      <formula>"已取消"</formula>
    </cfRule>
  </conditionalFormatting>
  <conditionalFormatting sqref="G11:G12">
    <cfRule type="cellIs" dxfId="1" priority="26" stopIfTrue="1" operator="equal">
      <formula>"急"</formula>
    </cfRule>
    <cfRule type="cellIs" dxfId="0" priority="27" stopIfTrue="1" operator="equal">
      <formula>"高"</formula>
    </cfRule>
  </conditionalFormatting>
  <conditionalFormatting sqref="H11:H12">
    <cfRule type="cellIs" dxfId="1" priority="31" stopIfTrue="1" operator="equal">
      <formula>"非常重要"</formula>
    </cfRule>
    <cfRule type="cellIs" dxfId="0" priority="32" stopIfTrue="1" operator="equal">
      <formula>"重要"</formula>
    </cfRule>
  </conditionalFormatting>
  <conditionalFormatting sqref="K11:K12">
    <cfRule type="cellIs" dxfId="2" priority="28" stopIfTrue="1" operator="equal">
      <formula>"已取消"</formula>
    </cfRule>
    <cfRule type="cellIs" dxfId="3" priority="29" stopIfTrue="1" operator="equal">
      <formula>"已解决"</formula>
    </cfRule>
    <cfRule type="cellIs" dxfId="4" priority="30" stopIfTrue="1" operator="equal">
      <formula>"解决中"</formula>
    </cfRule>
  </conditionalFormatting>
  <conditionalFormatting sqref="H2 H4 H16:H65536">
    <cfRule type="cellIs" dxfId="1" priority="85" stopIfTrue="1" operator="equal">
      <formula>"非常重要"</formula>
    </cfRule>
    <cfRule type="cellIs" dxfId="0" priority="86" stopIfTrue="1" operator="equal">
      <formula>"重要"</formula>
    </cfRule>
  </conditionalFormatting>
  <conditionalFormatting sqref="G4 G16:G65536">
    <cfRule type="cellIs" dxfId="1" priority="80" stopIfTrue="1" operator="equal">
      <formula>"急"</formula>
    </cfRule>
    <cfRule type="cellIs" dxfId="0" priority="81" stopIfTrue="1" operator="equal">
      <formula>"高"</formula>
    </cfRule>
  </conditionalFormatting>
  <conditionalFormatting sqref="K4:K7 K16:K65536">
    <cfRule type="cellIs" dxfId="2" priority="82" stopIfTrue="1" operator="equal">
      <formula>"已取消"</formula>
    </cfRule>
    <cfRule type="cellIs" dxfId="3" priority="83" stopIfTrue="1" operator="equal">
      <formula>"已解决"</formula>
    </cfRule>
    <cfRule type="cellIs" dxfId="4" priority="84" stopIfTrue="1" operator="equal">
      <formula>"解决中"</formula>
    </cfRule>
  </conditionalFormatting>
  <dataValidations count="4">
    <dataValidation type="list" allowBlank="1" showInputMessage="1" showErrorMessage="1" sqref="C3 C8 C9 C10 C15 C4:C7 C11:C12 C13:C14 C16:C65536">
      <formula1>Attrib</formula1>
    </dataValidation>
    <dataValidation type="list" allowBlank="1" showInputMessage="1" showErrorMessage="1" sqref="G3 G4 G5 G6 G7 G8 G9 G10 G13 G14 G15 G11:G12 G16:G65536">
      <formula1>Priority</formula1>
    </dataValidation>
    <dataValidation type="list" allowBlank="1" showInputMessage="1" showErrorMessage="1" sqref="H3 H4 H5 H6 H7 H8 H9 H10 H13 H14 H15 H11:H12 H16:H65536">
      <formula1>重要性</formula1>
    </dataValidation>
    <dataValidation type="list" allowBlank="1" showInputMessage="1" showErrorMessage="1" sqref="K3 K7 K8 K9 K10 K11 K12 K13 K14 K15 K4:K6 K16:K65536">
      <formula1>Status</formula1>
    </dataValidation>
  </dataValidation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3"/>
  <sheetViews>
    <sheetView workbookViewId="0">
      <pane xSplit="2" ySplit="2" topLeftCell="C3" activePane="bottomRight" state="frozen"/>
      <selection/>
      <selection pane="topRight"/>
      <selection pane="bottomLeft"/>
      <selection pane="bottomRight" activeCell="D10" sqref="D10"/>
    </sheetView>
  </sheetViews>
  <sheetFormatPr defaultColWidth="8" defaultRowHeight="12"/>
  <cols>
    <col min="1" max="1" width="6.5" style="8" customWidth="1"/>
    <col min="2" max="2" width="28.3333333333333" style="6" customWidth="1"/>
    <col min="3" max="3" width="4.75" style="8"/>
    <col min="4" max="4" width="12.5833333333333" style="8" customWidth="1"/>
    <col min="5" max="6" width="8.75" style="9" customWidth="1"/>
    <col min="7" max="7" width="4.75" style="8"/>
    <col min="8" max="8" width="7.5" style="8"/>
    <col min="9" max="9" width="6.33333333333333" style="8"/>
    <col min="10" max="10" width="41.25" style="6" customWidth="1"/>
    <col min="11" max="11" width="6.33333333333333" style="8"/>
    <col min="12" max="12" width="8.75" style="9" customWidth="1"/>
    <col min="13" max="13" width="16.5" style="9" customWidth="1"/>
    <col min="14" max="14" width="32.8333333333333" style="6" customWidth="1"/>
    <col min="15" max="16384" width="8" style="6"/>
  </cols>
  <sheetData>
    <row r="1" ht="31.5" customHeight="1" spans="1:14">
      <c r="A1" s="42" t="s">
        <v>25</v>
      </c>
      <c r="B1" s="42"/>
      <c r="C1" s="42"/>
      <c r="D1" s="42"/>
      <c r="E1" s="42"/>
      <c r="F1" s="42"/>
      <c r="G1" s="42"/>
      <c r="H1" s="42"/>
      <c r="I1" s="42"/>
      <c r="J1" s="42"/>
      <c r="K1" s="42"/>
      <c r="L1" s="42"/>
      <c r="M1" s="42"/>
      <c r="N1" s="42"/>
    </row>
    <row r="2" s="4" customFormat="1" ht="26" spans="1:14">
      <c r="A2" s="11" t="s">
        <v>26</v>
      </c>
      <c r="B2" s="11" t="s">
        <v>27</v>
      </c>
      <c r="C2" s="11" t="s">
        <v>28</v>
      </c>
      <c r="D2" s="11" t="s">
        <v>29</v>
      </c>
      <c r="E2" s="12" t="s">
        <v>30</v>
      </c>
      <c r="F2" s="12" t="s">
        <v>31</v>
      </c>
      <c r="G2" s="11" t="s">
        <v>32</v>
      </c>
      <c r="H2" s="11" t="s">
        <v>33</v>
      </c>
      <c r="I2" s="11" t="s">
        <v>34</v>
      </c>
      <c r="J2" s="11" t="s">
        <v>35</v>
      </c>
      <c r="K2" s="11" t="s">
        <v>36</v>
      </c>
      <c r="L2" s="12" t="s">
        <v>37</v>
      </c>
      <c r="M2" s="12" t="s">
        <v>38</v>
      </c>
      <c r="N2" s="11" t="s">
        <v>40</v>
      </c>
    </row>
    <row r="3" ht="21" customHeight="1" spans="1:14">
      <c r="A3" s="13">
        <v>1</v>
      </c>
      <c r="B3" s="26" t="s">
        <v>186</v>
      </c>
      <c r="C3" s="15" t="s">
        <v>8</v>
      </c>
      <c r="D3" s="15" t="s">
        <v>157</v>
      </c>
      <c r="E3" s="16">
        <v>43313</v>
      </c>
      <c r="F3" s="16">
        <v>43314</v>
      </c>
      <c r="G3" s="15" t="s">
        <v>43</v>
      </c>
      <c r="H3" s="15" t="s">
        <v>44</v>
      </c>
      <c r="I3" s="15" t="s">
        <v>187</v>
      </c>
      <c r="J3" s="27"/>
      <c r="K3" s="15" t="s">
        <v>20</v>
      </c>
      <c r="L3" s="16">
        <v>43313</v>
      </c>
      <c r="M3" s="16"/>
      <c r="N3" s="27"/>
    </row>
    <row r="4" ht="21" customHeight="1" spans="1:14">
      <c r="A4" s="13">
        <f>MAX($A$3:A3)+1</f>
        <v>2</v>
      </c>
      <c r="B4" s="26"/>
      <c r="C4" s="15"/>
      <c r="D4" s="15"/>
      <c r="E4" s="16"/>
      <c r="F4" s="16"/>
      <c r="G4" s="15"/>
      <c r="H4" s="15"/>
      <c r="I4" s="15"/>
      <c r="J4" s="27"/>
      <c r="K4" s="15"/>
      <c r="L4" s="16"/>
      <c r="M4" s="16"/>
      <c r="N4" s="27"/>
    </row>
    <row r="5" ht="21" customHeight="1" spans="1:14">
      <c r="A5" s="13">
        <f>MAX($A$3:A4)+1</f>
        <v>3</v>
      </c>
      <c r="B5" s="26"/>
      <c r="C5" s="15"/>
      <c r="D5" s="15"/>
      <c r="E5" s="16"/>
      <c r="F5" s="16"/>
      <c r="G5" s="15"/>
      <c r="H5" s="15"/>
      <c r="I5" s="15"/>
      <c r="J5" s="27"/>
      <c r="K5" s="15"/>
      <c r="L5" s="16"/>
      <c r="M5" s="16"/>
      <c r="N5" s="27"/>
    </row>
    <row r="6" ht="21" customHeight="1" spans="1:14">
      <c r="A6" s="13">
        <f>MAX($A$3:A5)+1</f>
        <v>4</v>
      </c>
      <c r="B6" s="26"/>
      <c r="C6" s="15"/>
      <c r="D6" s="15"/>
      <c r="E6" s="16"/>
      <c r="F6" s="16"/>
      <c r="G6" s="15"/>
      <c r="H6" s="15"/>
      <c r="I6" s="15"/>
      <c r="J6" s="27"/>
      <c r="K6" s="15"/>
      <c r="L6" s="16"/>
      <c r="M6" s="16"/>
      <c r="N6" s="37"/>
    </row>
    <row r="7" ht="21" customHeight="1" spans="1:14">
      <c r="A7" s="13">
        <f>MAX($A$3:A6)+1</f>
        <v>5</v>
      </c>
      <c r="B7" s="26"/>
      <c r="C7" s="15"/>
      <c r="D7" s="15"/>
      <c r="E7" s="16"/>
      <c r="F7" s="16"/>
      <c r="G7" s="15"/>
      <c r="H7" s="15"/>
      <c r="I7" s="15"/>
      <c r="J7" s="27"/>
      <c r="K7" s="15"/>
      <c r="L7" s="16"/>
      <c r="M7" s="16"/>
      <c r="N7" s="37"/>
    </row>
    <row r="8" ht="21" customHeight="1" spans="1:14">
      <c r="A8" s="13">
        <f>MAX($A$3:A7)+1</f>
        <v>6</v>
      </c>
      <c r="B8" s="26"/>
      <c r="C8" s="15"/>
      <c r="D8" s="15"/>
      <c r="E8" s="16"/>
      <c r="F8" s="16"/>
      <c r="G8" s="15"/>
      <c r="H8" s="15"/>
      <c r="I8" s="15"/>
      <c r="J8" s="27"/>
      <c r="K8" s="15"/>
      <c r="L8" s="16"/>
      <c r="M8" s="16"/>
      <c r="N8" s="37"/>
    </row>
    <row r="9" ht="21" customHeight="1" spans="1:14">
      <c r="A9" s="13">
        <f>MAX($A$3:A8)+1</f>
        <v>7</v>
      </c>
      <c r="B9" s="26"/>
      <c r="C9" s="15"/>
      <c r="D9" s="15"/>
      <c r="E9" s="16"/>
      <c r="F9" s="16"/>
      <c r="G9" s="15"/>
      <c r="H9" s="15"/>
      <c r="I9" s="15"/>
      <c r="J9" s="27"/>
      <c r="K9" s="15"/>
      <c r="L9" s="16"/>
      <c r="M9" s="16"/>
      <c r="N9" s="37"/>
    </row>
    <row r="10" ht="21" customHeight="1" spans="1:14">
      <c r="A10" s="13">
        <f>MAX($A$3:A9)+1</f>
        <v>8</v>
      </c>
      <c r="B10" s="26"/>
      <c r="C10" s="15"/>
      <c r="D10" s="15"/>
      <c r="E10" s="16"/>
      <c r="F10" s="16"/>
      <c r="G10" s="15"/>
      <c r="H10" s="15"/>
      <c r="I10" s="15"/>
      <c r="J10" s="27"/>
      <c r="K10" s="15"/>
      <c r="L10" s="16"/>
      <c r="M10" s="16"/>
      <c r="N10" s="37"/>
    </row>
    <row r="11" ht="21" customHeight="1" spans="1:14">
      <c r="A11" s="13">
        <f>MAX($A$3:A10)+1</f>
        <v>9</v>
      </c>
      <c r="B11" s="26"/>
      <c r="C11" s="15"/>
      <c r="D11" s="15"/>
      <c r="E11" s="16"/>
      <c r="F11" s="16"/>
      <c r="G11" s="15"/>
      <c r="H11" s="15"/>
      <c r="I11" s="15"/>
      <c r="J11" s="27"/>
      <c r="K11" s="15"/>
      <c r="L11" s="16"/>
      <c r="M11" s="16"/>
      <c r="N11" s="37"/>
    </row>
    <row r="12" ht="21" customHeight="1" spans="1:14">
      <c r="A12" s="13">
        <f>MAX($A$3:A11)+1</f>
        <v>10</v>
      </c>
      <c r="B12" s="26"/>
      <c r="C12" s="15"/>
      <c r="D12" s="15"/>
      <c r="E12" s="16"/>
      <c r="F12" s="16"/>
      <c r="G12" s="15"/>
      <c r="H12" s="15"/>
      <c r="I12" s="15"/>
      <c r="J12" s="27"/>
      <c r="K12" s="15"/>
      <c r="L12" s="16"/>
      <c r="M12" s="16"/>
      <c r="N12" s="37"/>
    </row>
    <row r="13" ht="21" customHeight="1" spans="1:14">
      <c r="A13" s="13">
        <f>MAX($A$3:A12)+1</f>
        <v>11</v>
      </c>
      <c r="B13" s="26"/>
      <c r="C13" s="15"/>
      <c r="D13" s="15"/>
      <c r="E13" s="16"/>
      <c r="F13" s="16"/>
      <c r="G13" s="15"/>
      <c r="H13" s="15"/>
      <c r="I13" s="15"/>
      <c r="J13" s="27"/>
      <c r="K13" s="15"/>
      <c r="L13" s="16"/>
      <c r="M13" s="16"/>
      <c r="N13" s="37"/>
    </row>
    <row r="14" ht="21" customHeight="1" spans="1:14">
      <c r="A14" s="13">
        <f>MAX($A$3:A13)+1</f>
        <v>12</v>
      </c>
      <c r="B14" s="26"/>
      <c r="C14" s="15"/>
      <c r="D14" s="15"/>
      <c r="E14" s="16"/>
      <c r="F14" s="16"/>
      <c r="G14" s="15"/>
      <c r="H14" s="15"/>
      <c r="I14" s="15"/>
      <c r="J14" s="27"/>
      <c r="K14" s="15"/>
      <c r="L14" s="16"/>
      <c r="M14" s="16"/>
      <c r="N14" s="27"/>
    </row>
    <row r="15" ht="21" customHeight="1" spans="1:14">
      <c r="A15" s="21">
        <f>MAX($A$3:A14)+1</f>
        <v>13</v>
      </c>
      <c r="B15" s="27"/>
      <c r="C15" s="15"/>
      <c r="D15" s="15"/>
      <c r="E15" s="16"/>
      <c r="F15" s="16"/>
      <c r="G15" s="15"/>
      <c r="H15" s="15"/>
      <c r="I15" s="15"/>
      <c r="J15" s="27"/>
      <c r="K15" s="15"/>
      <c r="L15" s="16"/>
      <c r="M15" s="43"/>
      <c r="N15" s="44"/>
    </row>
    <row r="16" ht="21" customHeight="1" spans="1:14">
      <c r="A16" s="21">
        <f>MAX($A$3:A15)+1</f>
        <v>14</v>
      </c>
      <c r="B16" s="27"/>
      <c r="C16" s="15"/>
      <c r="D16" s="15"/>
      <c r="E16" s="16"/>
      <c r="F16" s="16"/>
      <c r="G16" s="15"/>
      <c r="H16" s="15"/>
      <c r="I16" s="15"/>
      <c r="J16" s="27"/>
      <c r="K16" s="15"/>
      <c r="L16" s="16"/>
      <c r="M16" s="16"/>
      <c r="N16" s="37"/>
    </row>
    <row r="17" ht="13" spans="1:2">
      <c r="A17" s="28" t="s">
        <v>62</v>
      </c>
      <c r="B17" s="29" t="s">
        <v>63</v>
      </c>
    </row>
    <row r="18" ht="13" spans="1:2">
      <c r="A18" s="30" t="s">
        <v>64</v>
      </c>
      <c r="B18" s="31" t="s">
        <v>65</v>
      </c>
    </row>
    <row r="19" ht="13" spans="1:2">
      <c r="A19" s="32" t="s">
        <v>66</v>
      </c>
      <c r="B19" s="31" t="s">
        <v>67</v>
      </c>
    </row>
    <row r="20" ht="13" spans="1:2">
      <c r="A20" s="33" t="s">
        <v>68</v>
      </c>
      <c r="B20" s="34" t="s">
        <v>69</v>
      </c>
    </row>
    <row r="21" ht="13" spans="1:2">
      <c r="A21" s="35"/>
      <c r="B21" s="34" t="s">
        <v>70</v>
      </c>
    </row>
    <row r="22" ht="13" spans="1:2">
      <c r="A22" s="35"/>
      <c r="B22" s="34" t="s">
        <v>71</v>
      </c>
    </row>
    <row r="23" ht="24" spans="1:2">
      <c r="A23" s="36" t="s">
        <v>72</v>
      </c>
      <c r="B23" s="34" t="s">
        <v>73</v>
      </c>
    </row>
  </sheetData>
  <autoFilter ref="A2:N23">
    <extLst/>
  </autoFilter>
  <mergeCells count="1">
    <mergeCell ref="A1:N1"/>
  </mergeCells>
  <conditionalFormatting sqref="G3:G65536">
    <cfRule type="cellIs" dxfId="1" priority="1" stopIfTrue="1" operator="equal">
      <formula>"急"</formula>
    </cfRule>
    <cfRule type="cellIs" dxfId="0" priority="2" stopIfTrue="1" operator="equal">
      <formula>"高"</formula>
    </cfRule>
  </conditionalFormatting>
  <conditionalFormatting sqref="H2:H65536">
    <cfRule type="cellIs" dxfId="1" priority="6" stopIfTrue="1" operator="equal">
      <formula>"非常重要"</formula>
    </cfRule>
    <cfRule type="cellIs" dxfId="0" priority="7" stopIfTrue="1" operator="equal">
      <formula>"重要"</formula>
    </cfRule>
  </conditionalFormatting>
  <conditionalFormatting sqref="K3:K65536">
    <cfRule type="cellIs" dxfId="2" priority="3" stopIfTrue="1" operator="equal">
      <formula>"已取消"</formula>
    </cfRule>
    <cfRule type="cellIs" dxfId="3" priority="4" stopIfTrue="1" operator="equal">
      <formula>"已解决"</formula>
    </cfRule>
    <cfRule type="cellIs" dxfId="4" priority="5" stopIfTrue="1" operator="equal">
      <formula>"解决中"</formula>
    </cfRule>
  </conditionalFormatting>
  <dataValidations count="4">
    <dataValidation type="list" allowBlank="1" showInputMessage="1" showErrorMessage="1" sqref="C3:C65536">
      <formula1>Attrib</formula1>
    </dataValidation>
    <dataValidation type="list" allowBlank="1" showInputMessage="1" showErrorMessage="1" sqref="G3:G65536">
      <formula1>Priority</formula1>
    </dataValidation>
    <dataValidation type="list" allowBlank="1" showInputMessage="1" showErrorMessage="1" sqref="H3:H65536">
      <formula1>重要性</formula1>
    </dataValidation>
    <dataValidation type="list" allowBlank="1" showInputMessage="1" showErrorMessage="1" sqref="K3:K65536">
      <formula1>Status</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workbookViewId="0">
      <pane xSplit="2" ySplit="2" topLeftCell="C9" activePane="bottomRight" state="frozen"/>
      <selection/>
      <selection pane="topRight"/>
      <selection pane="bottomLeft"/>
      <selection pane="bottomRight" activeCell="B12" sqref="B12"/>
    </sheetView>
  </sheetViews>
  <sheetFormatPr defaultColWidth="8" defaultRowHeight="21" customHeight="1"/>
  <cols>
    <col min="1" max="1" width="5.25" style="8" customWidth="1"/>
    <col min="2" max="2" width="39.25" style="6" customWidth="1"/>
    <col min="3" max="3" width="8.75" style="8"/>
    <col min="4" max="4" width="9.25" style="8" customWidth="1"/>
    <col min="5" max="6" width="8.75" style="9" customWidth="1"/>
    <col min="7" max="8" width="5.75" style="8" customWidth="1"/>
    <col min="9" max="9" width="8.75" style="8" customWidth="1"/>
    <col min="10" max="10" width="21.0833333333333" style="6" customWidth="1"/>
    <col min="11" max="11" width="7.58333333333333" style="8" customWidth="1"/>
    <col min="12" max="12" width="8.75" style="9" customWidth="1"/>
    <col min="13" max="14" width="24" style="9" customWidth="1"/>
    <col min="15" max="15" width="22" style="6" customWidth="1"/>
    <col min="16" max="16384" width="8" style="6"/>
  </cols>
  <sheetData>
    <row r="1" ht="30.75" customHeight="1" spans="1:15">
      <c r="A1" s="10" t="s">
        <v>25</v>
      </c>
      <c r="B1" s="10"/>
      <c r="C1" s="10"/>
      <c r="D1" s="10"/>
      <c r="E1" s="10"/>
      <c r="F1" s="10"/>
      <c r="G1" s="10"/>
      <c r="H1" s="10"/>
      <c r="I1" s="10"/>
      <c r="J1" s="10"/>
      <c r="K1" s="10"/>
      <c r="L1" s="10"/>
      <c r="M1" s="10"/>
      <c r="N1" s="10"/>
      <c r="O1" s="10"/>
    </row>
    <row r="2" s="4" customFormat="1" ht="26.25" customHeight="1" spans="1:15">
      <c r="A2" s="11" t="s">
        <v>26</v>
      </c>
      <c r="B2" s="11" t="s">
        <v>27</v>
      </c>
      <c r="C2" s="11" t="s">
        <v>28</v>
      </c>
      <c r="D2" s="11" t="s">
        <v>29</v>
      </c>
      <c r="E2" s="12" t="s">
        <v>30</v>
      </c>
      <c r="F2" s="12" t="s">
        <v>31</v>
      </c>
      <c r="G2" s="11" t="s">
        <v>32</v>
      </c>
      <c r="H2" s="11" t="s">
        <v>33</v>
      </c>
      <c r="I2" s="11" t="s">
        <v>34</v>
      </c>
      <c r="J2" s="11" t="s">
        <v>35</v>
      </c>
      <c r="K2" s="11" t="s">
        <v>36</v>
      </c>
      <c r="L2" s="12" t="s">
        <v>37</v>
      </c>
      <c r="M2" s="12" t="s">
        <v>38</v>
      </c>
      <c r="N2" s="12" t="s">
        <v>72</v>
      </c>
      <c r="O2" s="11" t="s">
        <v>40</v>
      </c>
    </row>
    <row r="3" ht="72" spans="1:15">
      <c r="A3" s="13">
        <v>1</v>
      </c>
      <c r="B3" s="14" t="s">
        <v>188</v>
      </c>
      <c r="C3" s="15" t="s">
        <v>1</v>
      </c>
      <c r="D3" s="15" t="s">
        <v>42</v>
      </c>
      <c r="E3" s="16">
        <v>43252</v>
      </c>
      <c r="F3" s="16">
        <v>43262</v>
      </c>
      <c r="G3" s="15" t="s">
        <v>49</v>
      </c>
      <c r="H3" s="15" t="s">
        <v>50</v>
      </c>
      <c r="I3" s="15" t="s">
        <v>42</v>
      </c>
      <c r="J3" s="27" t="s">
        <v>189</v>
      </c>
      <c r="K3" s="15" t="s">
        <v>19</v>
      </c>
      <c r="L3" s="16"/>
      <c r="M3" s="14"/>
      <c r="N3" s="14" t="s">
        <v>190</v>
      </c>
      <c r="O3" s="37"/>
    </row>
    <row r="4" ht="15" spans="1:15">
      <c r="A4" s="13">
        <f>MAX($A$3:A3)+1</f>
        <v>2</v>
      </c>
      <c r="B4" s="17" t="s">
        <v>191</v>
      </c>
      <c r="C4" s="15" t="s">
        <v>1</v>
      </c>
      <c r="D4" s="15" t="s">
        <v>42</v>
      </c>
      <c r="E4" s="16">
        <v>43252</v>
      </c>
      <c r="F4" s="16">
        <v>43262</v>
      </c>
      <c r="G4" s="15" t="s">
        <v>43</v>
      </c>
      <c r="H4" s="15" t="s">
        <v>44</v>
      </c>
      <c r="I4" s="15" t="s">
        <v>174</v>
      </c>
      <c r="J4" s="27"/>
      <c r="K4" s="15" t="s">
        <v>20</v>
      </c>
      <c r="L4" s="16">
        <v>43255</v>
      </c>
      <c r="M4" s="17" t="s">
        <v>192</v>
      </c>
      <c r="N4" s="17"/>
      <c r="O4" s="37"/>
    </row>
    <row r="5" s="5" customFormat="1" ht="48" spans="1:15">
      <c r="A5" s="13">
        <f>MAX($A$3:A4)+1</f>
        <v>3</v>
      </c>
      <c r="B5" s="14" t="s">
        <v>193</v>
      </c>
      <c r="C5" s="18" t="s">
        <v>7</v>
      </c>
      <c r="D5" s="18" t="s">
        <v>42</v>
      </c>
      <c r="E5" s="19">
        <v>43252</v>
      </c>
      <c r="F5" s="19">
        <v>43281</v>
      </c>
      <c r="G5" s="18" t="s">
        <v>43</v>
      </c>
      <c r="H5" s="18" t="s">
        <v>44</v>
      </c>
      <c r="I5" s="18" t="s">
        <v>194</v>
      </c>
      <c r="J5" s="26"/>
      <c r="K5" s="18" t="s">
        <v>20</v>
      </c>
      <c r="L5" s="19">
        <v>43287</v>
      </c>
      <c r="M5" s="14"/>
      <c r="N5" s="14"/>
      <c r="O5" s="38"/>
    </row>
    <row r="6" s="6" customFormat="1" ht="24" spans="1:15">
      <c r="A6" s="13">
        <f>MAX($A$3:A5)+1</f>
        <v>4</v>
      </c>
      <c r="B6" s="14" t="s">
        <v>195</v>
      </c>
      <c r="C6" s="15" t="s">
        <v>2</v>
      </c>
      <c r="D6" s="20" t="s">
        <v>42</v>
      </c>
      <c r="E6" s="16">
        <v>43252</v>
      </c>
      <c r="F6" s="16">
        <v>43262</v>
      </c>
      <c r="G6" s="15" t="s">
        <v>43</v>
      </c>
      <c r="H6" s="15" t="s">
        <v>44</v>
      </c>
      <c r="I6" s="20" t="s">
        <v>42</v>
      </c>
      <c r="J6" s="27" t="s">
        <v>196</v>
      </c>
      <c r="K6" s="15" t="s">
        <v>20</v>
      </c>
      <c r="L6" s="16">
        <v>43279</v>
      </c>
      <c r="M6" s="16"/>
      <c r="N6" s="16"/>
      <c r="O6" s="37"/>
    </row>
    <row r="7" ht="36" spans="1:15">
      <c r="A7" s="21">
        <v>5</v>
      </c>
      <c r="B7" s="14" t="s">
        <v>197</v>
      </c>
      <c r="C7" s="15" t="s">
        <v>1</v>
      </c>
      <c r="D7" s="15" t="s">
        <v>42</v>
      </c>
      <c r="E7" s="16">
        <v>43259</v>
      </c>
      <c r="F7" s="16">
        <v>43281</v>
      </c>
      <c r="G7" s="15" t="s">
        <v>43</v>
      </c>
      <c r="H7" s="15" t="s">
        <v>44</v>
      </c>
      <c r="I7" s="15" t="s">
        <v>198</v>
      </c>
      <c r="J7" s="14"/>
      <c r="K7" s="15" t="s">
        <v>20</v>
      </c>
      <c r="L7" s="16">
        <v>43286</v>
      </c>
      <c r="M7" s="14"/>
      <c r="N7" s="14"/>
      <c r="O7" s="39"/>
    </row>
    <row r="8" ht="24" spans="1:15">
      <c r="A8" s="13">
        <v>6</v>
      </c>
      <c r="B8" s="14" t="s">
        <v>199</v>
      </c>
      <c r="C8" s="15" t="s">
        <v>1</v>
      </c>
      <c r="D8" s="15" t="s">
        <v>157</v>
      </c>
      <c r="E8" s="16">
        <v>43264</v>
      </c>
      <c r="F8" s="16">
        <v>43277</v>
      </c>
      <c r="G8" s="15" t="s">
        <v>43</v>
      </c>
      <c r="H8" s="15" t="s">
        <v>44</v>
      </c>
      <c r="I8" s="15" t="s">
        <v>42</v>
      </c>
      <c r="J8" s="14" t="s">
        <v>200</v>
      </c>
      <c r="K8" s="15" t="s">
        <v>20</v>
      </c>
      <c r="L8" s="16">
        <v>43280</v>
      </c>
      <c r="M8" s="14" t="s">
        <v>201</v>
      </c>
      <c r="N8" s="14"/>
      <c r="O8" s="37"/>
    </row>
    <row r="9" ht="84" spans="1:15">
      <c r="A9" s="13">
        <f>MAX($A$3:A8)+1</f>
        <v>7</v>
      </c>
      <c r="B9" s="14" t="s">
        <v>202</v>
      </c>
      <c r="C9" s="15" t="s">
        <v>8</v>
      </c>
      <c r="D9" s="15" t="s">
        <v>157</v>
      </c>
      <c r="E9" s="16">
        <v>43264</v>
      </c>
      <c r="F9" s="16">
        <v>43281</v>
      </c>
      <c r="G9" s="15" t="s">
        <v>43</v>
      </c>
      <c r="H9" s="15" t="s">
        <v>44</v>
      </c>
      <c r="I9" s="15" t="s">
        <v>203</v>
      </c>
      <c r="J9" s="27"/>
      <c r="K9" s="15" t="s">
        <v>20</v>
      </c>
      <c r="L9" s="16">
        <v>43287</v>
      </c>
      <c r="M9" s="14"/>
      <c r="N9" s="14"/>
      <c r="O9" s="37"/>
    </row>
    <row r="10" s="7" customFormat="1" customHeight="1" spans="1:15">
      <c r="A10" s="22">
        <f>MAX($A$3:A9)+1</f>
        <v>8</v>
      </c>
      <c r="B10" s="23" t="s">
        <v>204</v>
      </c>
      <c r="C10" s="24" t="s">
        <v>6</v>
      </c>
      <c r="D10" s="24" t="s">
        <v>48</v>
      </c>
      <c r="E10" s="25">
        <v>43265</v>
      </c>
      <c r="F10" s="25">
        <v>43281</v>
      </c>
      <c r="G10" s="24" t="s">
        <v>43</v>
      </c>
      <c r="H10" s="24" t="s">
        <v>44</v>
      </c>
      <c r="I10" s="24" t="s">
        <v>42</v>
      </c>
      <c r="J10" s="40"/>
      <c r="K10" s="24" t="s">
        <v>17</v>
      </c>
      <c r="L10" s="25"/>
      <c r="M10" s="25"/>
      <c r="N10" s="25"/>
      <c r="O10" s="41"/>
    </row>
    <row r="11" customHeight="1" spans="1:15">
      <c r="A11" s="13">
        <v>9</v>
      </c>
      <c r="B11" s="26" t="s">
        <v>205</v>
      </c>
      <c r="C11" s="15" t="s">
        <v>5</v>
      </c>
      <c r="D11" s="15" t="s">
        <v>165</v>
      </c>
      <c r="E11" s="16">
        <v>43314</v>
      </c>
      <c r="F11" s="16">
        <v>43322</v>
      </c>
      <c r="G11" s="15" t="s">
        <v>43</v>
      </c>
      <c r="H11" s="15" t="s">
        <v>44</v>
      </c>
      <c r="I11" s="15" t="s">
        <v>206</v>
      </c>
      <c r="J11" s="27"/>
      <c r="K11" s="15" t="s">
        <v>19</v>
      </c>
      <c r="L11" s="16"/>
      <c r="M11" s="16"/>
      <c r="N11" s="16" t="s">
        <v>207</v>
      </c>
      <c r="O11" s="37"/>
    </row>
    <row r="12" customHeight="1" spans="1:15">
      <c r="A12" s="13">
        <f>MAX($A$3:A11)+1</f>
        <v>10</v>
      </c>
      <c r="B12" s="26"/>
      <c r="C12" s="15"/>
      <c r="D12" s="15"/>
      <c r="E12" s="16"/>
      <c r="F12" s="16"/>
      <c r="G12" s="15"/>
      <c r="H12" s="15"/>
      <c r="I12" s="15"/>
      <c r="J12" s="27"/>
      <c r="K12" s="15"/>
      <c r="L12" s="16"/>
      <c r="M12" s="16"/>
      <c r="N12" s="16"/>
      <c r="O12" s="37"/>
    </row>
    <row r="13" customHeight="1" spans="1:15">
      <c r="A13" s="13">
        <f>MAX($A$3:A12)+1</f>
        <v>11</v>
      </c>
      <c r="B13" s="26"/>
      <c r="C13" s="15"/>
      <c r="D13" s="15"/>
      <c r="E13" s="16"/>
      <c r="F13" s="16"/>
      <c r="G13" s="15"/>
      <c r="H13" s="15"/>
      <c r="I13" s="15"/>
      <c r="J13" s="27"/>
      <c r="K13" s="15"/>
      <c r="L13" s="16"/>
      <c r="M13" s="16"/>
      <c r="N13" s="16"/>
      <c r="O13" s="37"/>
    </row>
    <row r="14" customHeight="1" spans="1:15">
      <c r="A14" s="13">
        <f>MAX($A$3:A13)+1</f>
        <v>12</v>
      </c>
      <c r="B14" s="26"/>
      <c r="C14" s="15"/>
      <c r="D14" s="15"/>
      <c r="E14" s="16"/>
      <c r="F14" s="16"/>
      <c r="G14" s="15"/>
      <c r="H14" s="15"/>
      <c r="I14" s="15"/>
      <c r="J14" s="27"/>
      <c r="K14" s="15"/>
      <c r="L14" s="16"/>
      <c r="M14" s="16"/>
      <c r="N14" s="16"/>
      <c r="O14" s="37"/>
    </row>
    <row r="15" customHeight="1" spans="1:15">
      <c r="A15" s="21">
        <f>MAX($A$3:A14)+1</f>
        <v>13</v>
      </c>
      <c r="B15" s="27"/>
      <c r="C15" s="15"/>
      <c r="D15" s="15"/>
      <c r="E15" s="16"/>
      <c r="F15" s="16"/>
      <c r="G15" s="15"/>
      <c r="H15" s="15"/>
      <c r="I15" s="15"/>
      <c r="J15" s="27"/>
      <c r="K15" s="15"/>
      <c r="L15" s="16"/>
      <c r="M15" s="16"/>
      <c r="N15" s="16"/>
      <c r="O15" s="37"/>
    </row>
    <row r="16" customHeight="1" spans="1:15">
      <c r="A16" s="21">
        <f>MAX($A$3:A15)+1</f>
        <v>14</v>
      </c>
      <c r="B16" s="27"/>
      <c r="C16" s="15"/>
      <c r="D16" s="15"/>
      <c r="E16" s="16"/>
      <c r="F16" s="16"/>
      <c r="G16" s="15"/>
      <c r="H16" s="15"/>
      <c r="I16" s="15"/>
      <c r="J16" s="27"/>
      <c r="K16" s="15"/>
      <c r="L16" s="16"/>
      <c r="M16" s="16"/>
      <c r="N16" s="16"/>
      <c r="O16" s="37"/>
    </row>
    <row r="17" customHeight="1" spans="1:2">
      <c r="A17" s="28" t="s">
        <v>62</v>
      </c>
      <c r="B17" s="29" t="s">
        <v>63</v>
      </c>
    </row>
    <row r="18" customHeight="1" spans="1:2">
      <c r="A18" s="30" t="s">
        <v>64</v>
      </c>
      <c r="B18" s="31" t="s">
        <v>65</v>
      </c>
    </row>
    <row r="19" customHeight="1" spans="1:2">
      <c r="A19" s="32" t="s">
        <v>66</v>
      </c>
      <c r="B19" s="31" t="s">
        <v>67</v>
      </c>
    </row>
    <row r="20" customHeight="1" spans="1:2">
      <c r="A20" s="33" t="s">
        <v>68</v>
      </c>
      <c r="B20" s="34" t="s">
        <v>69</v>
      </c>
    </row>
    <row r="21" customHeight="1" spans="1:2">
      <c r="A21" s="35"/>
      <c r="B21" s="34" t="s">
        <v>70</v>
      </c>
    </row>
    <row r="22" customHeight="1" spans="1:2">
      <c r="A22" s="35"/>
      <c r="B22" s="34" t="s">
        <v>71</v>
      </c>
    </row>
    <row r="23" customHeight="1" spans="1:2">
      <c r="A23" s="36" t="s">
        <v>72</v>
      </c>
      <c r="B23" s="34" t="s">
        <v>73</v>
      </c>
    </row>
  </sheetData>
  <autoFilter ref="A2:O23">
    <extLst/>
  </autoFilter>
  <mergeCells count="1">
    <mergeCell ref="A1:O1"/>
  </mergeCells>
  <conditionalFormatting sqref="G6">
    <cfRule type="cellIs" dxfId="0" priority="16" stopIfTrue="1" operator="equal">
      <formula>"高"</formula>
    </cfRule>
    <cfRule type="cellIs" dxfId="1" priority="15" stopIfTrue="1" operator="equal">
      <formula>"急"</formula>
    </cfRule>
  </conditionalFormatting>
  <conditionalFormatting sqref="H6">
    <cfRule type="cellIs" dxfId="0" priority="21" stopIfTrue="1" operator="equal">
      <formula>"重要"</formula>
    </cfRule>
    <cfRule type="cellIs" dxfId="1" priority="20" stopIfTrue="1" operator="equal">
      <formula>"非常重要"</formula>
    </cfRule>
  </conditionalFormatting>
  <conditionalFormatting sqref="K6">
    <cfRule type="cellIs" dxfId="4" priority="19" stopIfTrue="1" operator="equal">
      <formula>"解决中"</formula>
    </cfRule>
    <cfRule type="cellIs" dxfId="3" priority="18" stopIfTrue="1" operator="equal">
      <formula>"已解决"</formula>
    </cfRule>
    <cfRule type="cellIs" dxfId="2" priority="17" stopIfTrue="1" operator="equal">
      <formula>"已取消"</formula>
    </cfRule>
  </conditionalFormatting>
  <conditionalFormatting sqref="H7">
    <cfRule type="cellIs" dxfId="0" priority="14" stopIfTrue="1" operator="equal">
      <formula>"重要"</formula>
    </cfRule>
    <cfRule type="cellIs" dxfId="1" priority="13" stopIfTrue="1" operator="equal">
      <formula>"非常重要"</formula>
    </cfRule>
  </conditionalFormatting>
  <conditionalFormatting sqref="G8">
    <cfRule type="cellIs" dxfId="0" priority="12" stopIfTrue="1" operator="equal">
      <formula>"高"</formula>
    </cfRule>
    <cfRule type="cellIs" dxfId="1" priority="11" stopIfTrue="1" operator="equal">
      <formula>"急"</formula>
    </cfRule>
  </conditionalFormatting>
  <conditionalFormatting sqref="H8">
    <cfRule type="cellIs" dxfId="0" priority="10" stopIfTrue="1" operator="equal">
      <formula>"重要"</formula>
    </cfRule>
    <cfRule type="cellIs" dxfId="1" priority="9" stopIfTrue="1" operator="equal">
      <formula>"非常重要"</formula>
    </cfRule>
  </conditionalFormatting>
  <conditionalFormatting sqref="G9">
    <cfRule type="cellIs" dxfId="0" priority="8" stopIfTrue="1" operator="equal">
      <formula>"高"</formula>
    </cfRule>
    <cfRule type="cellIs" dxfId="1" priority="7" stopIfTrue="1" operator="equal">
      <formula>"急"</formula>
    </cfRule>
  </conditionalFormatting>
  <conditionalFormatting sqref="H9">
    <cfRule type="cellIs" dxfId="0" priority="6" stopIfTrue="1" operator="equal">
      <formula>"重要"</formula>
    </cfRule>
    <cfRule type="cellIs" dxfId="1" priority="5" stopIfTrue="1" operator="equal">
      <formula>"非常重要"</formula>
    </cfRule>
  </conditionalFormatting>
  <conditionalFormatting sqref="G10">
    <cfRule type="cellIs" dxfId="0" priority="4" stopIfTrue="1" operator="equal">
      <formula>"高"</formula>
    </cfRule>
    <cfRule type="cellIs" dxfId="1" priority="3" stopIfTrue="1" operator="equal">
      <formula>"急"</formula>
    </cfRule>
  </conditionalFormatting>
  <conditionalFormatting sqref="H10">
    <cfRule type="cellIs" dxfId="0" priority="2" stopIfTrue="1" operator="equal">
      <formula>"重要"</formula>
    </cfRule>
    <cfRule type="cellIs" dxfId="1" priority="1" stopIfTrue="1" operator="equal">
      <formula>"非常重要"</formula>
    </cfRule>
  </conditionalFormatting>
  <conditionalFormatting sqref="H2:H5 H11:H65536">
    <cfRule type="cellIs" dxfId="0" priority="28" stopIfTrue="1" operator="equal">
      <formula>"重要"</formula>
    </cfRule>
    <cfRule type="cellIs" dxfId="1" priority="27" stopIfTrue="1" operator="equal">
      <formula>"非常重要"</formula>
    </cfRule>
  </conditionalFormatting>
  <conditionalFormatting sqref="G3:G5 G7 G11:G65536">
    <cfRule type="cellIs" dxfId="0" priority="23" stopIfTrue="1" operator="equal">
      <formula>"高"</formula>
    </cfRule>
    <cfRule type="cellIs" dxfId="1" priority="22" stopIfTrue="1" operator="equal">
      <formula>"急"</formula>
    </cfRule>
  </conditionalFormatting>
  <conditionalFormatting sqref="K3:K5 K7:K65536">
    <cfRule type="cellIs" dxfId="4" priority="26" stopIfTrue="1" operator="equal">
      <formula>"解决中"</formula>
    </cfRule>
    <cfRule type="cellIs" dxfId="3" priority="25" stopIfTrue="1" operator="equal">
      <formula>"已解决"</formula>
    </cfRule>
    <cfRule type="cellIs" dxfId="2" priority="24" stopIfTrue="1" operator="equal">
      <formula>"已取消"</formula>
    </cfRule>
  </conditionalFormatting>
  <dataValidations count="4">
    <dataValidation type="list" allowBlank="1" showInputMessage="1" showErrorMessage="1" sqref="C5 C6 C9 C10 C11 C3:C4 C7:C8 C12:C65536">
      <formula1>Attrib</formula1>
    </dataValidation>
    <dataValidation type="list" allowBlank="1" showInputMessage="1" showErrorMessage="1" sqref="G6 G7 G8 G9 G10 G3:G5 G11:G65536">
      <formula1>Priority</formula1>
    </dataValidation>
    <dataValidation type="list" allowBlank="1" showInputMessage="1" showErrorMessage="1" sqref="H6 H7 H8 H9 H10 H3:H5 H11:H65536">
      <formula1>重要性</formula1>
    </dataValidation>
    <dataValidation type="list" allowBlank="1" showInputMessage="1" showErrorMessage="1" sqref="K6 K7 K8 K3:K5 K9:K65536">
      <formula1>Status</formula1>
    </dataValidation>
  </dataValidation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4"/>
  </sheetPr>
  <dimension ref="A1:G8"/>
  <sheetViews>
    <sheetView workbookViewId="0">
      <selection activeCell="G19" sqref="G19"/>
    </sheetView>
  </sheetViews>
  <sheetFormatPr defaultColWidth="8" defaultRowHeight="11.5" outlineLevelRow="7" outlineLevelCol="6"/>
  <cols>
    <col min="1" max="1" width="5.33333333333333" style="1"/>
    <col min="2" max="2" width="2.33333333333333" style="1" customWidth="1"/>
    <col min="3" max="3" width="3.75" style="1" customWidth="1"/>
    <col min="4" max="4" width="2.33333333333333" style="1" customWidth="1"/>
    <col min="5" max="5" width="5.83333333333333" style="1" customWidth="1"/>
    <col min="6" max="6" width="3" style="1" customWidth="1"/>
    <col min="7" max="16384" width="8" style="1"/>
  </cols>
  <sheetData>
    <row r="1" ht="12" spans="1:7">
      <c r="A1" s="1" t="s">
        <v>17</v>
      </c>
      <c r="C1" s="2" t="s">
        <v>49</v>
      </c>
      <c r="D1" s="2"/>
      <c r="E1" s="1" t="s">
        <v>1</v>
      </c>
      <c r="G1" s="2" t="s">
        <v>50</v>
      </c>
    </row>
    <row r="2" ht="12" spans="1:7">
      <c r="A2" s="1" t="s">
        <v>18</v>
      </c>
      <c r="C2" s="2" t="s">
        <v>208</v>
      </c>
      <c r="D2" s="2"/>
      <c r="E2" s="2" t="s">
        <v>2</v>
      </c>
      <c r="G2" s="2" t="s">
        <v>44</v>
      </c>
    </row>
    <row r="3" ht="12" spans="1:7">
      <c r="A3" s="1" t="s">
        <v>19</v>
      </c>
      <c r="C3" s="2" t="s">
        <v>43</v>
      </c>
      <c r="D3" s="2"/>
      <c r="E3" s="2" t="s">
        <v>3</v>
      </c>
      <c r="G3" s="2" t="s">
        <v>58</v>
      </c>
    </row>
    <row r="4" ht="12" spans="1:5">
      <c r="A4" s="1" t="s">
        <v>20</v>
      </c>
      <c r="C4" s="2" t="s">
        <v>133</v>
      </c>
      <c r="D4" s="2"/>
      <c r="E4" s="1" t="s">
        <v>4</v>
      </c>
    </row>
    <row r="5" ht="12" spans="1:5">
      <c r="A5" s="1" t="s">
        <v>21</v>
      </c>
      <c r="E5" s="2" t="s">
        <v>5</v>
      </c>
    </row>
    <row r="6" ht="12" spans="1:5">
      <c r="A6" s="3"/>
      <c r="E6" s="1" t="s">
        <v>6</v>
      </c>
    </row>
    <row r="7" ht="12" spans="5:5">
      <c r="E7" s="2" t="s">
        <v>7</v>
      </c>
    </row>
    <row r="8" ht="12" spans="5:5">
      <c r="E8" s="2" t="s">
        <v>8</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Company>besure</Company>
  <Application>Microsoft Excel</Application>
  <HeadingPairs>
    <vt:vector size="2" baseType="variant">
      <vt:variant>
        <vt:lpstr>工作表</vt:lpstr>
      </vt:variant>
      <vt:variant>
        <vt:i4>8</vt:i4>
      </vt:variant>
    </vt:vector>
  </HeadingPairs>
  <TitlesOfParts>
    <vt:vector size="8" baseType="lpstr">
      <vt:lpstr>问题分析</vt:lpstr>
      <vt:lpstr>前台</vt:lpstr>
      <vt:lpstr>中台</vt:lpstr>
      <vt:lpstr>后台</vt:lpstr>
      <vt:lpstr>外围</vt:lpstr>
      <vt:lpstr>测试</vt:lpstr>
      <vt:lpstr>整体</vt:lpstr>
      <vt:lpstr>Status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XX项目问题日志XXXXXXXX</dc:title>
  <dc:subject>XX项目问题日志XXXXXXXX</dc:subject>
  <dc:creator>liuyan</dc:creator>
  <cp:lastModifiedBy>yangfang</cp:lastModifiedBy>
  <dcterms:created xsi:type="dcterms:W3CDTF">2005-12-27T09:05:00Z</dcterms:created>
  <dcterms:modified xsi:type="dcterms:W3CDTF">2018-08-02T07:29:44Z</dcterms:modified>
  <cp:category>XX项目问题日志XXXXXXXX</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