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the road to hell\2019T2\MMAN2300\Resources\"/>
    </mc:Choice>
  </mc:AlternateContent>
  <xr:revisionPtr revIDLastSave="0" documentId="13_ncr:1_{F3BA5799-DEEE-445C-A3F1-72EDD2988FE4}" xr6:coauthVersionLast="43" xr6:coauthVersionMax="43" xr10:uidLastSave="{00000000-0000-0000-0000-000000000000}"/>
  <bookViews>
    <workbookView xWindow="-110" yWindow="-110" windowWidth="30220" windowHeight="19760" activeTab="8" xr2:uid="{00000000-000D-0000-FFFF-FFFF00000000}"/>
  </bookViews>
  <sheets>
    <sheet name="Part A 1" sheetId="1" r:id="rId1"/>
    <sheet name="Part A 2" sheetId="2" r:id="rId2"/>
    <sheet name="PART A 3" sheetId="3" r:id="rId3"/>
    <sheet name="Part A 4" sheetId="4" r:id="rId4"/>
    <sheet name="PART A 5" sheetId="5" r:id="rId5"/>
    <sheet name="PART A 6" sheetId="6" r:id="rId6"/>
    <sheet name="PART A 7" sheetId="7" r:id="rId7"/>
    <sheet name="PART A 8" sheetId="8" r:id="rId8"/>
    <sheet name="PART A 9" sheetId="9" r:id="rId9"/>
    <sheet name="PART A 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inZQSFdbkfWADB1Y9Zd0hQRLn94Q=="/>
    </ext>
  </extLst>
</workbook>
</file>

<file path=xl/calcChain.xml><?xml version="1.0" encoding="utf-8"?>
<calcChain xmlns="http://schemas.openxmlformats.org/spreadsheetml/2006/main">
  <c r="B34" i="10" l="1"/>
  <c r="B36" i="10" s="1"/>
  <c r="B37" i="10" s="1"/>
  <c r="B25" i="10"/>
  <c r="B28" i="10" s="1"/>
  <c r="B15" i="10"/>
  <c r="B8" i="10"/>
  <c r="B22" i="9"/>
  <c r="B17" i="9"/>
  <c r="B15" i="9"/>
  <c r="B23" i="9" s="1"/>
  <c r="B6" i="9"/>
  <c r="B40" i="8"/>
  <c r="B38" i="8"/>
  <c r="B50" i="8" s="1"/>
  <c r="B36" i="8"/>
  <c r="B22" i="8"/>
  <c r="B21" i="8"/>
  <c r="B24" i="8" s="1"/>
  <c r="B18" i="8"/>
  <c r="B19" i="8" s="1"/>
  <c r="B5" i="8"/>
  <c r="B7" i="8" s="1"/>
  <c r="E58" i="7"/>
  <c r="B45" i="7"/>
  <c r="B43" i="7"/>
  <c r="B41" i="7"/>
  <c r="B39" i="7"/>
  <c r="E49" i="7" s="1"/>
  <c r="E50" i="7" s="1"/>
  <c r="B19" i="7"/>
  <c r="B11" i="7"/>
  <c r="B8" i="7"/>
  <c r="B16" i="7" s="1"/>
  <c r="B6" i="7"/>
  <c r="B4" i="7"/>
  <c r="B39" i="6"/>
  <c r="E39" i="6" s="1"/>
  <c r="B33" i="6"/>
  <c r="B31" i="6"/>
  <c r="H29" i="6"/>
  <c r="G39" i="6" s="1"/>
  <c r="B29" i="6"/>
  <c r="B34" i="6" s="1"/>
  <c r="B36" i="6" s="1"/>
  <c r="B42" i="6" s="1"/>
  <c r="H28" i="6"/>
  <c r="E28" i="6"/>
  <c r="E29" i="6" s="1"/>
  <c r="B35" i="6" s="1"/>
  <c r="G21" i="6"/>
  <c r="B21" i="6"/>
  <c r="B10" i="6"/>
  <c r="B15" i="6" s="1"/>
  <c r="E15" i="6" s="1"/>
  <c r="B8" i="6"/>
  <c r="B12" i="6" s="1"/>
  <c r="E4" i="6"/>
  <c r="B24" i="5"/>
  <c r="B25" i="5" s="1"/>
  <c r="B23" i="5"/>
  <c r="B21" i="5"/>
  <c r="B20" i="5"/>
  <c r="B19" i="5"/>
  <c r="B18" i="5"/>
  <c r="B16" i="5"/>
  <c r="B15" i="5"/>
  <c r="B14" i="5"/>
  <c r="B13" i="5"/>
  <c r="B11" i="5"/>
  <c r="B27" i="5" s="1"/>
  <c r="B28" i="5" s="1"/>
  <c r="B9" i="5"/>
  <c r="B7" i="5"/>
  <c r="B31" i="5" s="1"/>
  <c r="B44" i="4"/>
  <c r="B42" i="4"/>
  <c r="B40" i="4"/>
  <c r="B45" i="4" s="1"/>
  <c r="B38" i="4"/>
  <c r="B36" i="4"/>
  <c r="B50" i="4" s="1"/>
  <c r="B13" i="4"/>
  <c r="B14" i="4" s="1"/>
  <c r="B15" i="4" s="1"/>
  <c r="B12" i="4"/>
  <c r="B9" i="4"/>
  <c r="B23" i="4" s="1"/>
  <c r="B7" i="4"/>
  <c r="B5" i="4"/>
  <c r="B16" i="4" s="1"/>
  <c r="B17" i="4" s="1"/>
  <c r="B3" i="4"/>
  <c r="B36" i="3"/>
  <c r="B42" i="3" s="1"/>
  <c r="B33" i="3"/>
  <c r="B24" i="3"/>
  <c r="B26" i="3" s="1"/>
  <c r="B22" i="3"/>
  <c r="B20" i="3"/>
  <c r="B27" i="3" s="1"/>
  <c r="B10" i="3"/>
  <c r="B8" i="3"/>
  <c r="B12" i="3" s="1"/>
  <c r="B13" i="3" s="1"/>
  <c r="B6" i="3"/>
  <c r="B4" i="3"/>
  <c r="B34" i="2"/>
  <c r="B32" i="2"/>
  <c r="B37" i="2" s="1"/>
  <c r="B30" i="2"/>
  <c r="B28" i="2"/>
  <c r="B36" i="2" s="1"/>
  <c r="B16" i="2"/>
  <c r="B17" i="2" s="1"/>
  <c r="B10" i="2"/>
  <c r="B8" i="2"/>
  <c r="B18" i="2" s="1"/>
  <c r="B19" i="2" s="1"/>
  <c r="B20" i="2" s="1"/>
  <c r="B40" i="1"/>
  <c r="B36" i="1"/>
  <c r="B39" i="1" s="1"/>
  <c r="B34" i="1"/>
  <c r="B32" i="1"/>
  <c r="B30" i="1"/>
  <c r="B28" i="1"/>
  <c r="B10" i="1"/>
  <c r="B15" i="1" s="1"/>
  <c r="B16" i="1" s="1"/>
  <c r="B8" i="1"/>
  <c r="B6" i="1"/>
  <c r="B4" i="1"/>
  <c r="B17" i="1" s="1"/>
  <c r="B49" i="8" l="1"/>
  <c r="B51" i="8" s="1"/>
  <c r="B35" i="5"/>
  <c r="B34" i="5"/>
  <c r="G42" i="6"/>
  <c r="E42" i="6"/>
  <c r="B20" i="7"/>
  <c r="B38" i="2"/>
  <c r="B39" i="2"/>
  <c r="B41" i="2" s="1"/>
  <c r="B42" i="2" s="1"/>
  <c r="B43" i="2" s="1"/>
  <c r="B46" i="2" s="1"/>
  <c r="B28" i="3"/>
  <c r="B29" i="3" s="1"/>
  <c r="B24" i="4"/>
  <c r="E12" i="6"/>
  <c r="E17" i="6" s="1"/>
  <c r="G12" i="6"/>
  <c r="G17" i="6" s="1"/>
  <c r="G23" i="6" s="1"/>
  <c r="E54" i="7"/>
  <c r="E55" i="7" s="1"/>
  <c r="E57" i="7" s="1"/>
  <c r="B23" i="2"/>
  <c r="B39" i="3"/>
  <c r="B21" i="4"/>
  <c r="B22" i="4" s="1"/>
  <c r="B29" i="4" s="1"/>
  <c r="B30" i="4" s="1"/>
  <c r="B28" i="4"/>
  <c r="B27" i="8"/>
  <c r="B43" i="8"/>
  <c r="B44" i="8" s="1"/>
  <c r="B45" i="8" s="1"/>
  <c r="B46" i="8" s="1"/>
  <c r="B47" i="8" s="1"/>
  <c r="B53" i="8"/>
  <c r="B21" i="9"/>
  <c r="B25" i="9" s="1"/>
  <c r="B26" i="9" s="1"/>
  <c r="B46" i="4"/>
  <c r="B47" i="4" s="1"/>
  <c r="B51" i="4" s="1"/>
  <c r="B14" i="7"/>
  <c r="E48" i="7"/>
  <c r="B13" i="1"/>
  <c r="B14" i="1" s="1"/>
  <c r="B23" i="1" s="1"/>
  <c r="B24" i="1" s="1"/>
  <c r="B10" i="7"/>
  <c r="B12" i="7" s="1"/>
  <c r="B55" i="8" l="1"/>
  <c r="B57" i="8" s="1"/>
  <c r="B39" i="5"/>
  <c r="B40" i="5" s="1"/>
  <c r="B36" i="5"/>
  <c r="E52" i="7"/>
  <c r="B17" i="6"/>
  <c r="E23" i="6"/>
  <c r="B23" i="6" s="1"/>
  <c r="B18" i="1"/>
  <c r="B20" i="1" s="1"/>
  <c r="B58" i="8" l="1"/>
  <c r="B59" i="8" s="1"/>
  <c r="E59" i="7"/>
  <c r="E53" i="7"/>
  <c r="E60" i="7" l="1"/>
  <c r="E61" i="7"/>
</calcChain>
</file>

<file path=xl/sharedStrings.xml><?xml version="1.0" encoding="utf-8"?>
<sst xmlns="http://schemas.openxmlformats.org/spreadsheetml/2006/main" count="593" uniqueCount="196">
  <si>
    <t>Q1</t>
  </si>
  <si>
    <t>w0</t>
  </si>
  <si>
    <t>w_OA</t>
  </si>
  <si>
    <t>theta</t>
  </si>
  <si>
    <t>deg</t>
  </si>
  <si>
    <t>rad/s</t>
  </si>
  <si>
    <t>BG</t>
  </si>
  <si>
    <t>mm</t>
  </si>
  <si>
    <t>Ax</t>
  </si>
  <si>
    <t>rad</t>
  </si>
  <si>
    <t>Beta</t>
  </si>
  <si>
    <t>BO</t>
  </si>
  <si>
    <t>m</t>
  </si>
  <si>
    <t>BP</t>
  </si>
  <si>
    <t>PC</t>
  </si>
  <si>
    <t>OD</t>
  </si>
  <si>
    <t>AG</t>
  </si>
  <si>
    <t>Ay</t>
  </si>
  <si>
    <t>OA</t>
  </si>
  <si>
    <t>v_D</t>
  </si>
  <si>
    <t>BC</t>
  </si>
  <si>
    <t>m/s</t>
  </si>
  <si>
    <t>gamma</t>
  </si>
  <si>
    <t>OB_y</t>
  </si>
  <si>
    <t>OC</t>
  </si>
  <si>
    <t>W_3</t>
  </si>
  <si>
    <t>v_p</t>
  </si>
  <si>
    <t>AO</t>
  </si>
  <si>
    <t>V_g</t>
  </si>
  <si>
    <t>v_c</t>
  </si>
  <si>
    <t>v_A</t>
  </si>
  <si>
    <t>Q2</t>
  </si>
  <si>
    <t>v_a</t>
  </si>
  <si>
    <t>AB</t>
  </si>
  <si>
    <t>angle</t>
  </si>
  <si>
    <t>Q3</t>
  </si>
  <si>
    <t>w_AP</t>
  </si>
  <si>
    <t>AP</t>
  </si>
  <si>
    <t>alpha</t>
  </si>
  <si>
    <t>AO_y</t>
  </si>
  <si>
    <t>w_ab</t>
  </si>
  <si>
    <t>OP</t>
  </si>
  <si>
    <t>CB</t>
  </si>
  <si>
    <t>OB</t>
  </si>
  <si>
    <t>V_BA</t>
  </si>
  <si>
    <t>v_P</t>
  </si>
  <si>
    <t>v_b</t>
  </si>
  <si>
    <t>w_OB</t>
  </si>
  <si>
    <t>w_AB</t>
  </si>
  <si>
    <t>beta</t>
  </si>
  <si>
    <t>v_B</t>
  </si>
  <si>
    <t>V_A</t>
  </si>
  <si>
    <t>w_BC</t>
  </si>
  <si>
    <t>w</t>
  </si>
  <si>
    <t>V_p’</t>
  </si>
  <si>
    <t>Q4</t>
  </si>
  <si>
    <t>BE</t>
  </si>
  <si>
    <t>CE</t>
  </si>
  <si>
    <t>CD</t>
  </si>
  <si>
    <t>rad/s CW</t>
  </si>
  <si>
    <t>V_B</t>
  </si>
  <si>
    <t>w_BCE</t>
  </si>
  <si>
    <t>mm/s</t>
  </si>
  <si>
    <t>a_ab</t>
  </si>
  <si>
    <t>Q1 and Q2 FIXED!!!</t>
  </si>
  <si>
    <t>rad/s^2</t>
  </si>
  <si>
    <t>AB_x</t>
  </si>
  <si>
    <t>Send help for Q3 plsss</t>
  </si>
  <si>
    <t>AD</t>
  </si>
  <si>
    <t>BC_x</t>
  </si>
  <si>
    <t>v_C/BD</t>
  </si>
  <si>
    <t>BD</t>
  </si>
  <si>
    <t>CD_x</t>
  </si>
  <si>
    <t>w_BD</t>
  </si>
  <si>
    <t>DE_x</t>
  </si>
  <si>
    <t>alpha2</t>
  </si>
  <si>
    <t>a_(B/A)t</t>
  </si>
  <si>
    <t>13-A</t>
  </si>
  <si>
    <t>m/s^2</t>
  </si>
  <si>
    <t xml:space="preserve">EQUAL TO </t>
  </si>
  <si>
    <t>nu</t>
  </si>
  <si>
    <t>13-D</t>
  </si>
  <si>
    <t>i</t>
  </si>
  <si>
    <t>13-C</t>
  </si>
  <si>
    <t>14-C</t>
  </si>
  <si>
    <t>j</t>
  </si>
  <si>
    <t>a_(B/A)n</t>
  </si>
  <si>
    <t>a_(C'/B)n</t>
  </si>
  <si>
    <t>w_CD</t>
  </si>
  <si>
    <t>DB</t>
  </si>
  <si>
    <t>a_C'</t>
  </si>
  <si>
    <t>CB^2</t>
  </si>
  <si>
    <t>DE</t>
  </si>
  <si>
    <t>M^2</t>
  </si>
  <si>
    <t>a_C/C'</t>
  </si>
  <si>
    <t>13-B</t>
  </si>
  <si>
    <t>a_cor</t>
  </si>
  <si>
    <t>v_b I</t>
  </si>
  <si>
    <t>v_b j</t>
  </si>
  <si>
    <t>a_C</t>
  </si>
  <si>
    <t>AO_x</t>
  </si>
  <si>
    <t>angle_AOC</t>
  </si>
  <si>
    <t>2theta</t>
  </si>
  <si>
    <t>w_DE</t>
  </si>
  <si>
    <t>r</t>
  </si>
  <si>
    <t>alpha_BD</t>
  </si>
  <si>
    <t>AO / OC</t>
  </si>
  <si>
    <t>12-23</t>
  </si>
  <si>
    <t>CP / CA</t>
  </si>
  <si>
    <t>13-23</t>
  </si>
  <si>
    <t>a_c I</t>
  </si>
  <si>
    <t>w_CB</t>
  </si>
  <si>
    <t>w3</t>
  </si>
  <si>
    <t>a_c j</t>
  </si>
  <si>
    <t>Q5</t>
  </si>
  <si>
    <t>13-34</t>
  </si>
  <si>
    <t>?????</t>
  </si>
  <si>
    <t>Angle</t>
  </si>
  <si>
    <t>a_(A)n</t>
  </si>
  <si>
    <t>a_(A)t</t>
  </si>
  <si>
    <t>a_(P/C)n</t>
  </si>
  <si>
    <t>a_(P/C)t</t>
  </si>
  <si>
    <t>kg</t>
  </si>
  <si>
    <t>L</t>
  </si>
  <si>
    <t>R</t>
  </si>
  <si>
    <t>v_b’</t>
  </si>
  <si>
    <t>P</t>
  </si>
  <si>
    <t>N</t>
  </si>
  <si>
    <t>us</t>
  </si>
  <si>
    <t>uk</t>
  </si>
  <si>
    <t>Ic</t>
  </si>
  <si>
    <t>kg/m^2</t>
  </si>
  <si>
    <t>w_cd</t>
  </si>
  <si>
    <t>v</t>
  </si>
  <si>
    <t>F</t>
  </si>
  <si>
    <t>l</t>
  </si>
  <si>
    <t>m_drum</t>
  </si>
  <si>
    <t>k</t>
  </si>
  <si>
    <t>V_B/C</t>
  </si>
  <si>
    <t>a_b</t>
  </si>
  <si>
    <t>O</t>
  </si>
  <si>
    <t>Nm</t>
  </si>
  <si>
    <t>T1</t>
  </si>
  <si>
    <t>alpha_b</t>
  </si>
  <si>
    <t>a_AB</t>
  </si>
  <si>
    <t>J</t>
  </si>
  <si>
    <t>m_AB</t>
  </si>
  <si>
    <t>V_1-2</t>
  </si>
  <si>
    <t>m_CD</t>
  </si>
  <si>
    <t>AC</t>
  </si>
  <si>
    <t>T2</t>
  </si>
  <si>
    <t>V^2</t>
  </si>
  <si>
    <t>OE_x</t>
  </si>
  <si>
    <t>FIXED!!!</t>
  </si>
  <si>
    <t xml:space="preserve">OC' </t>
  </si>
  <si>
    <t>w_AOD</t>
  </si>
  <si>
    <t>a_g/n</t>
  </si>
  <si>
    <t>a_g/t</t>
  </si>
  <si>
    <t>OC’</t>
  </si>
  <si>
    <t>v_c’</t>
  </si>
  <si>
    <t>v_c'</t>
  </si>
  <si>
    <t>a_g</t>
  </si>
  <si>
    <t>v_c/c'</t>
  </si>
  <si>
    <t>I_a</t>
  </si>
  <si>
    <t>v_c/c’</t>
  </si>
  <si>
    <t>Kgm^2</t>
  </si>
  <si>
    <t>a_(A/O)n</t>
  </si>
  <si>
    <t>a_(A/O)t</t>
  </si>
  <si>
    <t>a_a/On</t>
  </si>
  <si>
    <t>a_a/Ot</t>
  </si>
  <si>
    <t>R_x</t>
  </si>
  <si>
    <t>alpha_AOD</t>
  </si>
  <si>
    <t>CCW</t>
  </si>
  <si>
    <t>R_y</t>
  </si>
  <si>
    <t>v_rel</t>
  </si>
  <si>
    <t>R_A</t>
  </si>
  <si>
    <t>a_rel</t>
  </si>
  <si>
    <t>a_c</t>
  </si>
  <si>
    <t>a_c/On</t>
  </si>
  <si>
    <t>a_c/Ot</t>
  </si>
  <si>
    <t>ac</t>
  </si>
  <si>
    <t>w2</t>
  </si>
  <si>
    <t>rpm</t>
  </si>
  <si>
    <t>n2</t>
  </si>
  <si>
    <t>n3</t>
  </si>
  <si>
    <t>n4</t>
  </si>
  <si>
    <t>n5</t>
  </si>
  <si>
    <t>w5</t>
  </si>
  <si>
    <t>d10</t>
  </si>
  <si>
    <t>n6</t>
  </si>
  <si>
    <t>n7</t>
  </si>
  <si>
    <t>n9</t>
  </si>
  <si>
    <t>n10</t>
  </si>
  <si>
    <t>w10</t>
  </si>
  <si>
    <t>n1</t>
  </si>
  <si>
    <t>w_sun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</si>
</sst>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</font>
    <font>
      <b/>
      <sz val="10"/>
      <name val="Arial"/>
    </font>
    <font>
      <sz val="12"/>
      <name val="Calibri"/>
    </font>
    <font>
      <b/>
      <sz val="12"/>
      <name val="Calibri"/>
    </font>
    <font>
      <sz val="11"/>
      <color rgb="FF000000"/>
      <name val="Inconsolata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0" borderId="0" xfId="0" applyFont="1"/>
    <xf numFmtId="0" fontId="0" fillId="3" borderId="1" xfId="0" applyFont="1" applyFill="1" applyBorder="1" applyAlignment="1"/>
    <xf numFmtId="0" fontId="0" fillId="3" borderId="1" xfId="0" applyFont="1" applyFill="1" applyBorder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4" fillId="4" borderId="0" xfId="0" applyFont="1" applyFill="1"/>
    <xf numFmtId="0" fontId="2" fillId="2" borderId="0" xfId="0" applyFont="1" applyFill="1"/>
    <xf numFmtId="0" fontId="5" fillId="0" borderId="0" xfId="0" applyFont="1" applyAlignment="1"/>
    <xf numFmtId="0" fontId="5" fillId="0" borderId="0" xfId="0" applyFont="1"/>
    <xf numFmtId="0" fontId="5" fillId="2" borderId="1" xfId="0" applyFont="1" applyFill="1" applyBorder="1"/>
    <xf numFmtId="0" fontId="5" fillId="3" borderId="1" xfId="0" applyFont="1" applyFill="1" applyBorder="1" applyAlignment="1"/>
    <xf numFmtId="0" fontId="0" fillId="2" borderId="1" xfId="0" applyFont="1" applyFill="1" applyBorder="1" applyAlignment="1"/>
    <xf numFmtId="0" fontId="5" fillId="5" borderId="0" xfId="0" applyFont="1" applyFill="1"/>
    <xf numFmtId="0" fontId="2" fillId="2" borderId="0" xfId="0" applyFont="1" applyFill="1" applyAlignment="1"/>
    <xf numFmtId="0" fontId="5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1</v>
      </c>
      <c r="B2" s="4">
        <v>9</v>
      </c>
      <c r="C2" t="s">
        <v>5</v>
      </c>
    </row>
    <row r="3" spans="1:3" ht="15.75" customHeight="1">
      <c r="A3" t="s">
        <v>8</v>
      </c>
      <c r="B3" s="5">
        <v>-60</v>
      </c>
      <c r="C3" t="s">
        <v>7</v>
      </c>
    </row>
    <row r="4" spans="1:3" ht="15.75" customHeight="1">
      <c r="B4">
        <f>B3*0.001</f>
        <v>-0.06</v>
      </c>
      <c r="C4" t="s">
        <v>12</v>
      </c>
    </row>
    <row r="5" spans="1:3" ht="15.75" customHeight="1">
      <c r="A5" t="s">
        <v>17</v>
      </c>
      <c r="B5" s="5">
        <v>80</v>
      </c>
      <c r="C5" t="s">
        <v>7</v>
      </c>
    </row>
    <row r="6" spans="1:3" ht="15.75" customHeight="1">
      <c r="B6">
        <f>B5*0.001</f>
        <v>0.08</v>
      </c>
      <c r="C6" t="s">
        <v>12</v>
      </c>
    </row>
    <row r="7" spans="1:3" ht="15.75" customHeight="1">
      <c r="A7" t="s">
        <v>20</v>
      </c>
      <c r="B7" s="4">
        <v>175</v>
      </c>
      <c r="C7" t="s">
        <v>7</v>
      </c>
    </row>
    <row r="8" spans="1:3" ht="15.75" customHeight="1">
      <c r="B8">
        <f>B7*0.001</f>
        <v>0.17500000000000002</v>
      </c>
      <c r="C8" t="s">
        <v>12</v>
      </c>
    </row>
    <row r="9" spans="1:3" ht="15.75" customHeight="1">
      <c r="A9" t="s">
        <v>24</v>
      </c>
      <c r="B9" s="4">
        <v>180</v>
      </c>
      <c r="C9" t="s">
        <v>7</v>
      </c>
    </row>
    <row r="10" spans="1:3" ht="15.75" customHeight="1">
      <c r="B10">
        <f>B9*0.001</f>
        <v>0.18</v>
      </c>
      <c r="C10" t="s">
        <v>12</v>
      </c>
    </row>
    <row r="11" spans="1:3" ht="15.75" customHeight="1"/>
    <row r="12" spans="1:3" ht="15.75" customHeight="1"/>
    <row r="13" spans="1:3" ht="15.75" customHeight="1">
      <c r="A13" t="s">
        <v>27</v>
      </c>
      <c r="B13">
        <f>SQRT(B4^2+B6^2)</f>
        <v>0.1</v>
      </c>
      <c r="C13" t="s">
        <v>12</v>
      </c>
    </row>
    <row r="14" spans="1:3" ht="15.75" customHeight="1">
      <c r="A14" t="s">
        <v>30</v>
      </c>
      <c r="B14">
        <f>B2*B13</f>
        <v>0.9</v>
      </c>
      <c r="C14" t="s">
        <v>21</v>
      </c>
    </row>
    <row r="15" spans="1:3" ht="15.75" customHeight="1">
      <c r="A15" t="s">
        <v>33</v>
      </c>
      <c r="B15">
        <f>SQRT((B10-B4)^2+(B8-B6)^2)</f>
        <v>0.25811818998280611</v>
      </c>
      <c r="C15" t="s">
        <v>12</v>
      </c>
    </row>
    <row r="16" spans="1:3" ht="15.75" customHeight="1">
      <c r="A16" t="s">
        <v>38</v>
      </c>
      <c r="B16">
        <f>ASIN((B8-B6)/B15)</f>
        <v>0.37690927032482108</v>
      </c>
      <c r="C16" t="s">
        <v>9</v>
      </c>
    </row>
    <row r="17" spans="1:3" ht="15.75" customHeight="1">
      <c r="A17" t="s">
        <v>3</v>
      </c>
      <c r="B17">
        <f>ATAN(ABS(B4)/ABS(B6))</f>
        <v>0.64350110879328437</v>
      </c>
      <c r="C17" t="s">
        <v>9</v>
      </c>
    </row>
    <row r="18" spans="1:3" ht="15.75" customHeight="1">
      <c r="A18" t="s">
        <v>44</v>
      </c>
      <c r="B18">
        <f>SIN(B17)*(B14)/SIN((PI()/2)-B16)</f>
        <v>0.58076592746131384</v>
      </c>
      <c r="C18" t="s">
        <v>21</v>
      </c>
    </row>
    <row r="19" spans="1:3" ht="15.75" customHeight="1"/>
    <row r="20" spans="1:3" ht="15.75" customHeight="1">
      <c r="A20" t="s">
        <v>48</v>
      </c>
      <c r="B20" s="2">
        <f>B18/B15</f>
        <v>2.2500000000000004</v>
      </c>
      <c r="C20" t="s">
        <v>5</v>
      </c>
    </row>
    <row r="21" spans="1:3" ht="15.75" customHeight="1"/>
    <row r="22" spans="1:3" ht="15.75" customHeight="1">
      <c r="A22" s="1" t="s">
        <v>31</v>
      </c>
    </row>
    <row r="23" spans="1:3" ht="15.75" customHeight="1">
      <c r="A23" t="s">
        <v>50</v>
      </c>
      <c r="B23">
        <f>SIN(B16+(PI()/2)-B17)*(B14)/(SIN((PI()/2)-B16))</f>
        <v>0.93375000000000019</v>
      </c>
      <c r="C23" t="s">
        <v>21</v>
      </c>
    </row>
    <row r="24" spans="1:3" ht="15.75" customHeight="1">
      <c r="A24" t="s">
        <v>52</v>
      </c>
      <c r="B24" s="2">
        <f>B23/B8</f>
        <v>5.3357142857142863</v>
      </c>
      <c r="C24" t="s">
        <v>5</v>
      </c>
    </row>
    <row r="25" spans="1:3" ht="15.75" customHeight="1"/>
    <row r="26" spans="1:3" ht="15.75" customHeight="1">
      <c r="A26" s="1" t="s">
        <v>35</v>
      </c>
    </row>
    <row r="27" spans="1:3" ht="15.75" customHeight="1">
      <c r="A27" t="s">
        <v>33</v>
      </c>
      <c r="B27" s="5">
        <v>60</v>
      </c>
      <c r="C27" t="s">
        <v>7</v>
      </c>
    </row>
    <row r="28" spans="1:3" ht="15.75" customHeight="1">
      <c r="B28">
        <f>B27*0.001</f>
        <v>0.06</v>
      </c>
      <c r="C28" t="s">
        <v>12</v>
      </c>
    </row>
    <row r="29" spans="1:3" ht="15.75" customHeight="1">
      <c r="A29" t="s">
        <v>20</v>
      </c>
      <c r="B29" s="4">
        <v>110</v>
      </c>
      <c r="C29" t="s">
        <v>7</v>
      </c>
    </row>
    <row r="30" spans="1:3" ht="15.75" customHeight="1">
      <c r="B30">
        <f>B29*0.001</f>
        <v>0.11</v>
      </c>
      <c r="C30" t="s">
        <v>12</v>
      </c>
    </row>
    <row r="31" spans="1:3" ht="15.75" customHeight="1">
      <c r="A31" t="s">
        <v>56</v>
      </c>
      <c r="B31" s="4">
        <v>80</v>
      </c>
      <c r="C31" t="s">
        <v>7</v>
      </c>
    </row>
    <row r="32" spans="1:3" ht="15.75" customHeight="1">
      <c r="B32">
        <f>B31*0.001</f>
        <v>0.08</v>
      </c>
      <c r="C32" t="s">
        <v>12</v>
      </c>
    </row>
    <row r="33" spans="1:3" ht="15.75" customHeight="1">
      <c r="A33" t="s">
        <v>57</v>
      </c>
      <c r="B33" s="4">
        <v>60</v>
      </c>
      <c r="C33" t="s">
        <v>7</v>
      </c>
    </row>
    <row r="34" spans="1:3" ht="15.75" customHeight="1">
      <c r="B34">
        <f>B33*0.001</f>
        <v>0.06</v>
      </c>
      <c r="C34" t="s">
        <v>12</v>
      </c>
    </row>
    <row r="35" spans="1:3" ht="15.75" customHeight="1">
      <c r="A35" t="s">
        <v>58</v>
      </c>
      <c r="B35" s="4">
        <v>20</v>
      </c>
      <c r="C35" t="s">
        <v>7</v>
      </c>
    </row>
    <row r="36" spans="1:3" ht="15.75" customHeight="1">
      <c r="B36">
        <f>B35*0.001</f>
        <v>0.02</v>
      </c>
      <c r="C36" t="s">
        <v>12</v>
      </c>
    </row>
    <row r="37" spans="1:3" ht="15.75" customHeight="1">
      <c r="A37" t="s">
        <v>48</v>
      </c>
      <c r="B37" s="4">
        <v>41</v>
      </c>
      <c r="C37" t="s">
        <v>59</v>
      </c>
    </row>
    <row r="38" spans="1:3" ht="15.75" customHeight="1"/>
    <row r="39" spans="1:3" ht="15.75" customHeight="1">
      <c r="A39" t="s">
        <v>60</v>
      </c>
      <c r="B39">
        <f>B36*B27</f>
        <v>1.2</v>
      </c>
      <c r="C39" t="s">
        <v>21</v>
      </c>
    </row>
    <row r="40" spans="1:3" ht="15.75" customHeight="1">
      <c r="A40" t="s">
        <v>61</v>
      </c>
      <c r="B40" s="2">
        <f>0</f>
        <v>0</v>
      </c>
      <c r="C40" t="s">
        <v>5</v>
      </c>
    </row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activeCell="B37" sqref="B37"/>
    </sheetView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181</v>
      </c>
      <c r="B2" s="4">
        <v>330</v>
      </c>
      <c r="C2" t="s">
        <v>182</v>
      </c>
    </row>
    <row r="3" spans="1:3" ht="15.75" customHeight="1">
      <c r="A3" t="s">
        <v>183</v>
      </c>
      <c r="B3" s="4">
        <v>59</v>
      </c>
    </row>
    <row r="4" spans="1:3" ht="15.75" customHeight="1">
      <c r="A4" t="s">
        <v>184</v>
      </c>
      <c r="B4" s="4">
        <v>48</v>
      </c>
    </row>
    <row r="5" spans="1:3" ht="15.75" customHeight="1">
      <c r="A5" t="s">
        <v>185</v>
      </c>
      <c r="B5" s="4">
        <v>79</v>
      </c>
    </row>
    <row r="6" spans="1:3" ht="15.75" customHeight="1">
      <c r="A6" t="s">
        <v>186</v>
      </c>
      <c r="B6" s="4">
        <v>117</v>
      </c>
    </row>
    <row r="7" spans="1:3" ht="15.75" customHeight="1"/>
    <row r="8" spans="1:3" ht="15.75" customHeight="1">
      <c r="A8" t="s">
        <v>187</v>
      </c>
      <c r="B8" s="2">
        <f>B2*B3/B4*B5/B6</f>
        <v>273.883547008547</v>
      </c>
      <c r="C8" t="s">
        <v>182</v>
      </c>
    </row>
    <row r="9" spans="1:3" ht="15.75" customHeight="1"/>
    <row r="10" spans="1:3" ht="15.75" customHeight="1"/>
    <row r="11" spans="1:3" ht="15.75" customHeight="1">
      <c r="A11" s="1" t="s">
        <v>31</v>
      </c>
    </row>
    <row r="12" spans="1:3" ht="15.75" customHeight="1"/>
    <row r="13" spans="1:3" ht="15.75" customHeight="1">
      <c r="A13" t="s">
        <v>181</v>
      </c>
      <c r="B13" s="4">
        <v>180</v>
      </c>
      <c r="C13" t="s">
        <v>182</v>
      </c>
    </row>
    <row r="14" spans="1:3" ht="15.75" customHeight="1">
      <c r="A14" t="s">
        <v>188</v>
      </c>
      <c r="B14" s="5">
        <v>340</v>
      </c>
      <c r="C14" t="s">
        <v>7</v>
      </c>
    </row>
    <row r="15" spans="1:3" ht="15.75" customHeight="1">
      <c r="B15">
        <f>B14*0.001</f>
        <v>0.34</v>
      </c>
      <c r="C15" t="s">
        <v>12</v>
      </c>
    </row>
    <row r="16" spans="1:3" ht="15.75" customHeight="1">
      <c r="A16" t="s">
        <v>183</v>
      </c>
      <c r="B16" s="4">
        <v>63</v>
      </c>
    </row>
    <row r="17" spans="1:3" ht="15.75" customHeight="1">
      <c r="A17" t="s">
        <v>184</v>
      </c>
      <c r="B17" s="4">
        <v>48</v>
      </c>
    </row>
    <row r="18" spans="1:3" ht="15.75" customHeight="1">
      <c r="A18" t="s">
        <v>185</v>
      </c>
      <c r="B18" s="4">
        <v>82</v>
      </c>
    </row>
    <row r="19" spans="1:3" ht="15.75" customHeight="1">
      <c r="A19" t="s">
        <v>186</v>
      </c>
      <c r="B19" s="4">
        <v>110</v>
      </c>
    </row>
    <row r="20" spans="1:3" ht="15.75" customHeight="1">
      <c r="A20" t="s">
        <v>189</v>
      </c>
      <c r="B20" s="4">
        <v>64</v>
      </c>
    </row>
    <row r="21" spans="1:3" ht="15.75" customHeight="1">
      <c r="A21" t="s">
        <v>190</v>
      </c>
      <c r="B21" s="4">
        <v>41</v>
      </c>
    </row>
    <row r="22" spans="1:3" ht="15.75" customHeight="1">
      <c r="A22" t="s">
        <v>191</v>
      </c>
      <c r="B22" s="4">
        <v>81</v>
      </c>
    </row>
    <row r="23" spans="1:3" ht="15.75" customHeight="1">
      <c r="A23" t="s">
        <v>192</v>
      </c>
      <c r="B23" s="4">
        <v>65</v>
      </c>
    </row>
    <row r="24" spans="1:3" ht="15.75" customHeight="1"/>
    <row r="25" spans="1:3" ht="15.75" customHeight="1">
      <c r="A25" t="s">
        <v>193</v>
      </c>
      <c r="B25" s="2">
        <f>B13*B16/B17*B18/B19*B20/B21*2/B22</f>
        <v>6.787878787878789</v>
      </c>
      <c r="C25" t="s">
        <v>182</v>
      </c>
    </row>
    <row r="26" spans="1:3" ht="15.75" customHeight="1"/>
    <row r="27" spans="1:3" ht="15.75" customHeight="1">
      <c r="A27" s="1" t="s">
        <v>35</v>
      </c>
    </row>
    <row r="28" spans="1:3" ht="15.75" customHeight="1">
      <c r="A28" t="s">
        <v>133</v>
      </c>
      <c r="B28" s="2">
        <f>(B25*2*PI())/60*B15/2</f>
        <v>0.12084025075626197</v>
      </c>
      <c r="C28" t="s">
        <v>21</v>
      </c>
    </row>
    <row r="29" spans="1:3" ht="15.75" customHeight="1"/>
    <row r="30" spans="1:3" ht="15.75" customHeight="1"/>
    <row r="31" spans="1:3" ht="15.75" customHeight="1">
      <c r="A31" s="1" t="s">
        <v>55</v>
      </c>
    </row>
    <row r="32" spans="1:3" ht="15.75" customHeight="1">
      <c r="A32" t="s">
        <v>133</v>
      </c>
      <c r="B32" s="4">
        <v>20</v>
      </c>
      <c r="C32" t="s">
        <v>182</v>
      </c>
    </row>
    <row r="33" spans="1:2" ht="15.75" customHeight="1">
      <c r="A33" t="s">
        <v>194</v>
      </c>
      <c r="B33" s="4">
        <v>120</v>
      </c>
    </row>
    <row r="34" spans="1:2" ht="15.75" customHeight="1">
      <c r="A34" t="s">
        <v>184</v>
      </c>
      <c r="B34">
        <f>0.5*B33</f>
        <v>60</v>
      </c>
    </row>
    <row r="35" spans="1:2" ht="15.75" customHeight="1"/>
    <row r="36" spans="1:2" ht="15.75" customHeight="1">
      <c r="A36" t="s">
        <v>185</v>
      </c>
      <c r="B36">
        <f>B33+B34*2</f>
        <v>240</v>
      </c>
    </row>
    <row r="37" spans="1:2" ht="15.75" customHeight="1">
      <c r="A37" t="s">
        <v>195</v>
      </c>
      <c r="B37" s="2">
        <f>-B36/B33*-B32+B32</f>
        <v>60</v>
      </c>
    </row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1.25" defaultRowHeight="15" customHeight="1"/>
  <cols>
    <col min="1" max="26" width="10.58203125" customWidth="1"/>
  </cols>
  <sheetData>
    <row r="1" spans="1:3" ht="15.75" customHeight="1">
      <c r="A1" s="1"/>
    </row>
    <row r="2" spans="1:3" ht="15.75" customHeight="1"/>
    <row r="3" spans="1:3" ht="15.75" customHeight="1">
      <c r="B3" s="2"/>
    </row>
    <row r="4" spans="1:3" ht="15.75" customHeight="1"/>
    <row r="5" spans="1:3" ht="15.75" customHeight="1"/>
    <row r="6" spans="1:3" ht="15.75" customHeight="1">
      <c r="A6" s="1" t="s">
        <v>0</v>
      </c>
    </row>
    <row r="7" spans="1:3" ht="15.75" customHeight="1">
      <c r="A7" t="s">
        <v>3</v>
      </c>
      <c r="B7" s="4">
        <v>17</v>
      </c>
      <c r="C7" t="s">
        <v>4</v>
      </c>
    </row>
    <row r="8" spans="1:3" ht="15.75" customHeight="1">
      <c r="B8">
        <f>RADIANS(B7)</f>
        <v>0.29670597283903605</v>
      </c>
      <c r="C8" t="s">
        <v>9</v>
      </c>
    </row>
    <row r="9" spans="1:3" ht="15.75" customHeight="1">
      <c r="A9" t="s">
        <v>10</v>
      </c>
      <c r="B9" s="4">
        <v>29</v>
      </c>
      <c r="C9" t="s">
        <v>4</v>
      </c>
    </row>
    <row r="10" spans="1:3" ht="15.75" customHeight="1">
      <c r="B10">
        <f>RADIANS(B9)</f>
        <v>0.50614548307835561</v>
      </c>
      <c r="C10" t="s">
        <v>9</v>
      </c>
    </row>
    <row r="11" spans="1:3" ht="15.75" customHeight="1">
      <c r="A11" t="s">
        <v>2</v>
      </c>
      <c r="B11" s="4">
        <v>6</v>
      </c>
      <c r="C11" t="s">
        <v>5</v>
      </c>
    </row>
    <row r="12" spans="1:3" ht="15.75" customHeight="1">
      <c r="A12" t="s">
        <v>11</v>
      </c>
      <c r="B12" s="5">
        <v>0.4</v>
      </c>
      <c r="C12" t="s">
        <v>12</v>
      </c>
    </row>
    <row r="13" spans="1:3" ht="15.75" customHeight="1">
      <c r="A13" t="s">
        <v>13</v>
      </c>
      <c r="B13" s="5">
        <v>0.17499999999999999</v>
      </c>
      <c r="C13" t="s">
        <v>12</v>
      </c>
    </row>
    <row r="14" spans="1:3" ht="15.75" customHeight="1">
      <c r="A14" t="s">
        <v>14</v>
      </c>
      <c r="B14" s="5">
        <v>0.17499999999999999</v>
      </c>
      <c r="C14" t="s">
        <v>12</v>
      </c>
    </row>
    <row r="15" spans="1:3" ht="15.75" customHeight="1"/>
    <row r="16" spans="1:3" ht="15.75" customHeight="1">
      <c r="A16" t="s">
        <v>15</v>
      </c>
      <c r="B16">
        <f>SQRT(B13^2+B12^2-2*B13*B12*COS(B8))</f>
        <v>0.23820649480057229</v>
      </c>
      <c r="C16" t="s">
        <v>12</v>
      </c>
    </row>
    <row r="17" spans="1:3" ht="15.75" customHeight="1">
      <c r="A17" t="s">
        <v>19</v>
      </c>
      <c r="B17">
        <f>B11*B16</f>
        <v>1.4292389688034337</v>
      </c>
      <c r="C17" t="s">
        <v>21</v>
      </c>
    </row>
    <row r="18" spans="1:3" ht="15.75" customHeight="1">
      <c r="A18" t="s">
        <v>22</v>
      </c>
      <c r="B18">
        <f>ASIN(B13*SIN(B8)/B16)</f>
        <v>0.21647970899963614</v>
      </c>
      <c r="C18" t="s">
        <v>9</v>
      </c>
    </row>
    <row r="19" spans="1:3" ht="15.75" customHeight="1">
      <c r="A19" t="s">
        <v>26</v>
      </c>
      <c r="B19">
        <f>SIN((PI()/2)-B18+B10)*B17/SIN((PI()/2)-B8-B10)</f>
        <v>1.9717548458353322</v>
      </c>
      <c r="C19" t="s">
        <v>21</v>
      </c>
    </row>
    <row r="20" spans="1:3" ht="15.75" customHeight="1">
      <c r="A20" t="s">
        <v>29</v>
      </c>
      <c r="B20" s="2">
        <f>2*B19</f>
        <v>3.9435096916706645</v>
      </c>
      <c r="C20" t="s">
        <v>21</v>
      </c>
    </row>
    <row r="21" spans="1:3" ht="15.75" customHeight="1"/>
    <row r="22" spans="1:3" ht="15.75" customHeight="1">
      <c r="A22" s="1" t="s">
        <v>31</v>
      </c>
    </row>
    <row r="23" spans="1:3" ht="15.75" customHeight="1">
      <c r="A23" t="s">
        <v>34</v>
      </c>
      <c r="B23" s="2">
        <f>-(90-DEGREES(B8))</f>
        <v>-73</v>
      </c>
      <c r="C23" t="s">
        <v>4</v>
      </c>
    </row>
    <row r="24" spans="1:3" ht="15.75" customHeight="1"/>
    <row r="25" spans="1:3" ht="15.75" customHeight="1">
      <c r="A25" s="1" t="s">
        <v>35</v>
      </c>
    </row>
    <row r="26" spans="1:3" ht="15.75" customHeight="1">
      <c r="A26" t="s">
        <v>36</v>
      </c>
      <c r="B26" s="4">
        <v>6.1</v>
      </c>
      <c r="C26" t="s">
        <v>5</v>
      </c>
    </row>
    <row r="27" spans="1:3" ht="15.75" customHeight="1">
      <c r="A27" t="s">
        <v>37</v>
      </c>
      <c r="B27" s="4">
        <v>469</v>
      </c>
      <c r="C27" t="s">
        <v>7</v>
      </c>
    </row>
    <row r="28" spans="1:3" ht="15.75" customHeight="1">
      <c r="B28">
        <f>B27*0.001</f>
        <v>0.46900000000000003</v>
      </c>
      <c r="C28" t="s">
        <v>12</v>
      </c>
    </row>
    <row r="29" spans="1:3" ht="15.75" customHeight="1">
      <c r="A29" t="s">
        <v>27</v>
      </c>
      <c r="B29" s="4">
        <v>469</v>
      </c>
      <c r="C29" t="s">
        <v>7</v>
      </c>
    </row>
    <row r="30" spans="1:3" ht="15.75" customHeight="1">
      <c r="B30">
        <f>B29*0.001</f>
        <v>0.46900000000000003</v>
      </c>
      <c r="C30" t="s">
        <v>12</v>
      </c>
    </row>
    <row r="31" spans="1:3" ht="15.75" customHeight="1">
      <c r="A31" t="s">
        <v>41</v>
      </c>
      <c r="B31" s="4">
        <v>627</v>
      </c>
      <c r="C31" t="s">
        <v>7</v>
      </c>
    </row>
    <row r="32" spans="1:3" ht="15.75" customHeight="1">
      <c r="B32">
        <f>B31*0.001</f>
        <v>0.627</v>
      </c>
      <c r="C32" t="s">
        <v>12</v>
      </c>
    </row>
    <row r="33" spans="1:3" ht="15.75" customHeight="1">
      <c r="A33" t="s">
        <v>43</v>
      </c>
      <c r="B33" s="4">
        <v>890</v>
      </c>
      <c r="C33" t="s">
        <v>7</v>
      </c>
    </row>
    <row r="34" spans="1:3" ht="15.75" customHeight="1">
      <c r="B34">
        <f>B33*0.001</f>
        <v>0.89</v>
      </c>
      <c r="C34" t="s">
        <v>12</v>
      </c>
    </row>
    <row r="35" spans="1:3" ht="15.75" customHeight="1"/>
    <row r="36" spans="1:3" ht="15.75" customHeight="1">
      <c r="A36" t="s">
        <v>45</v>
      </c>
      <c r="B36">
        <f>B26*B28</f>
        <v>2.8609</v>
      </c>
      <c r="C36" t="s">
        <v>21</v>
      </c>
    </row>
    <row r="37" spans="1:3" ht="15.75" customHeight="1">
      <c r="A37" t="s">
        <v>38</v>
      </c>
      <c r="B37">
        <f>ACOS((B32^2-B28^2-B30^2)/(-2*B28*B30))</f>
        <v>1.4642281462914899</v>
      </c>
      <c r="C37" t="s">
        <v>9</v>
      </c>
    </row>
    <row r="38" spans="1:3" ht="15.75" customHeight="1">
      <c r="A38" t="s">
        <v>49</v>
      </c>
      <c r="B38">
        <f>ASIN(B30*(SIN(B37)/B32))</f>
        <v>0.83868225364915161</v>
      </c>
      <c r="C38" t="s">
        <v>9</v>
      </c>
    </row>
    <row r="39" spans="1:3" ht="15.75" customHeight="1">
      <c r="A39" t="s">
        <v>22</v>
      </c>
      <c r="B39">
        <f>PI()-B37-B38</f>
        <v>0.83868225364915161</v>
      </c>
      <c r="C39" t="s">
        <v>9</v>
      </c>
    </row>
    <row r="40" spans="1:3" ht="15.75" customHeight="1"/>
    <row r="41" spans="1:3" ht="15.75" customHeight="1">
      <c r="A41" t="s">
        <v>54</v>
      </c>
      <c r="B41">
        <f>COS(B39)*B36</f>
        <v>1.91235</v>
      </c>
      <c r="C41" t="s">
        <v>21</v>
      </c>
    </row>
    <row r="42" spans="1:3" ht="15.75" customHeight="1">
      <c r="A42" t="s">
        <v>47</v>
      </c>
      <c r="B42">
        <f>B41/B32</f>
        <v>3.05</v>
      </c>
      <c r="C42" t="s">
        <v>5</v>
      </c>
    </row>
    <row r="43" spans="1:3" ht="15.75" customHeight="1">
      <c r="A43" t="s">
        <v>50</v>
      </c>
      <c r="B43" s="2">
        <f>B42*B34</f>
        <v>2.7144999999999997</v>
      </c>
      <c r="C43" t="s">
        <v>21</v>
      </c>
    </row>
    <row r="44" spans="1:3" ht="15.75" customHeight="1"/>
    <row r="45" spans="1:3" ht="15.75" customHeight="1">
      <c r="A45" s="1" t="s">
        <v>55</v>
      </c>
    </row>
    <row r="46" spans="1:3" ht="15.75" customHeight="1">
      <c r="A46" t="s">
        <v>29</v>
      </c>
      <c r="B46" s="2">
        <f>-B43/COS(B39)</f>
        <v>-4.0609266347687392</v>
      </c>
      <c r="C46" t="s">
        <v>21</v>
      </c>
    </row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s="3" t="s">
        <v>2</v>
      </c>
      <c r="B2" s="5">
        <v>19</v>
      </c>
      <c r="C2" t="s">
        <v>5</v>
      </c>
    </row>
    <row r="3" spans="1:3" ht="15.75" customHeight="1">
      <c r="A3" t="s">
        <v>6</v>
      </c>
      <c r="B3" s="4">
        <v>90</v>
      </c>
      <c r="C3" t="s">
        <v>7</v>
      </c>
    </row>
    <row r="4" spans="1:3" ht="15.75" customHeight="1">
      <c r="B4">
        <f>B3*0.001</f>
        <v>0.09</v>
      </c>
      <c r="C4" t="s">
        <v>12</v>
      </c>
    </row>
    <row r="5" spans="1:3" ht="15.75" customHeight="1">
      <c r="A5" t="s">
        <v>16</v>
      </c>
      <c r="B5" s="4">
        <v>90</v>
      </c>
      <c r="C5" t="s">
        <v>7</v>
      </c>
    </row>
    <row r="6" spans="1:3" ht="15.75" customHeight="1">
      <c r="B6">
        <f>B5*0.001</f>
        <v>0.09</v>
      </c>
      <c r="C6" t="s">
        <v>12</v>
      </c>
    </row>
    <row r="7" spans="1:3" ht="15.75" customHeight="1">
      <c r="A7" t="s">
        <v>18</v>
      </c>
      <c r="B7" s="4">
        <v>70</v>
      </c>
      <c r="C7" t="s">
        <v>7</v>
      </c>
    </row>
    <row r="8" spans="1:3" ht="15.75" customHeight="1">
      <c r="B8">
        <f>B7*0.001</f>
        <v>7.0000000000000007E-2</v>
      </c>
      <c r="C8" t="s">
        <v>12</v>
      </c>
    </row>
    <row r="9" spans="1:3" ht="15.75" customHeight="1">
      <c r="A9" t="s">
        <v>23</v>
      </c>
      <c r="B9" s="4">
        <v>90</v>
      </c>
      <c r="C9" t="s">
        <v>7</v>
      </c>
    </row>
    <row r="10" spans="1:3" ht="15.75" customHeight="1">
      <c r="B10">
        <f>B9*0.001</f>
        <v>0.09</v>
      </c>
      <c r="C10" t="s">
        <v>12</v>
      </c>
    </row>
    <row r="11" spans="1:3" ht="15.75" customHeight="1"/>
    <row r="12" spans="1:3" ht="15.75" customHeight="1">
      <c r="A12" t="s">
        <v>25</v>
      </c>
      <c r="B12">
        <f>(B2*B8)/(B6*2*SIN(RADIANS(60)))</f>
        <v>8.5319539780244718</v>
      </c>
      <c r="C12" t="s">
        <v>5</v>
      </c>
    </row>
    <row r="13" spans="1:3" ht="15.75" customHeight="1">
      <c r="A13" t="s">
        <v>28</v>
      </c>
      <c r="B13" s="2">
        <f>B12*B4</f>
        <v>0.76787585802220248</v>
      </c>
      <c r="C13" t="s">
        <v>21</v>
      </c>
    </row>
    <row r="14" spans="1:3" ht="15.75" customHeight="1"/>
    <row r="15" spans="1:3" ht="15.75" customHeight="1"/>
    <row r="16" spans="1:3" ht="15.75" customHeight="1"/>
    <row r="17" spans="1:3" ht="15.75" customHeight="1">
      <c r="A17" s="1" t="s">
        <v>31</v>
      </c>
    </row>
    <row r="18" spans="1:3" ht="15.75" customHeight="1">
      <c r="A18" t="s">
        <v>32</v>
      </c>
      <c r="B18" s="4">
        <v>15</v>
      </c>
      <c r="C18" t="s">
        <v>21</v>
      </c>
    </row>
    <row r="19" spans="1:3" ht="15.75" customHeight="1">
      <c r="A19" t="s">
        <v>33</v>
      </c>
      <c r="B19" s="4">
        <v>200</v>
      </c>
      <c r="C19" t="s">
        <v>7</v>
      </c>
    </row>
    <row r="20" spans="1:3" ht="15.75" customHeight="1">
      <c r="B20">
        <f>B19*0.001</f>
        <v>0.2</v>
      </c>
      <c r="C20" t="s">
        <v>12</v>
      </c>
    </row>
    <row r="21" spans="1:3" ht="15.75" customHeight="1">
      <c r="A21" t="s">
        <v>11</v>
      </c>
      <c r="B21" s="4">
        <v>120</v>
      </c>
      <c r="C21" t="s">
        <v>7</v>
      </c>
    </row>
    <row r="22" spans="1:3" ht="15.75" customHeight="1">
      <c r="B22">
        <f>B21*0.001</f>
        <v>0.12</v>
      </c>
      <c r="C22" t="s">
        <v>12</v>
      </c>
    </row>
    <row r="23" spans="1:3" ht="15.75" customHeight="1">
      <c r="A23" t="s">
        <v>39</v>
      </c>
      <c r="B23" s="5">
        <v>130</v>
      </c>
      <c r="C23" t="s">
        <v>7</v>
      </c>
    </row>
    <row r="24" spans="1:3" ht="15.75" customHeight="1">
      <c r="B24">
        <f>B23*0.001</f>
        <v>0.13</v>
      </c>
      <c r="C24" t="s">
        <v>12</v>
      </c>
    </row>
    <row r="25" spans="1:3" ht="15.75" customHeight="1"/>
    <row r="26" spans="1:3" ht="15.75" customHeight="1">
      <c r="A26" t="s">
        <v>40</v>
      </c>
      <c r="B26">
        <f>B18/B24</f>
        <v>115.38461538461539</v>
      </c>
      <c r="C26" t="s">
        <v>5</v>
      </c>
    </row>
    <row r="27" spans="1:3" ht="15.75" customHeight="1">
      <c r="A27" t="s">
        <v>42</v>
      </c>
      <c r="B27">
        <f>SQRT(B20^2-B24^2)</f>
        <v>0.15198684153570666</v>
      </c>
      <c r="C27" t="s">
        <v>12</v>
      </c>
    </row>
    <row r="28" spans="1:3" ht="15.75" customHeight="1">
      <c r="A28" t="s">
        <v>46</v>
      </c>
      <c r="B28">
        <f>B26*B27</f>
        <v>17.536943254120001</v>
      </c>
      <c r="C28" t="s">
        <v>21</v>
      </c>
    </row>
    <row r="29" spans="1:3" ht="15.75" customHeight="1">
      <c r="A29" t="s">
        <v>47</v>
      </c>
      <c r="B29" s="2">
        <f>B28/B22</f>
        <v>146.14119378433335</v>
      </c>
      <c r="C29" t="s">
        <v>5</v>
      </c>
    </row>
    <row r="30" spans="1:3" ht="15.75" customHeight="1"/>
    <row r="31" spans="1:3" ht="15.75" customHeight="1">
      <c r="A31" s="1" t="s">
        <v>35</v>
      </c>
    </row>
    <row r="32" spans="1:3" ht="15.75" customHeight="1">
      <c r="A32" t="s">
        <v>33</v>
      </c>
      <c r="B32" s="4">
        <v>172</v>
      </c>
      <c r="C32" t="s">
        <v>7</v>
      </c>
    </row>
    <row r="33" spans="1:3" ht="15.75" customHeight="1">
      <c r="B33">
        <f>B32*0.001</f>
        <v>0.17200000000000001</v>
      </c>
      <c r="C33" t="s">
        <v>12</v>
      </c>
    </row>
    <row r="34" spans="1:3" ht="15.75" customHeight="1">
      <c r="A34" t="s">
        <v>51</v>
      </c>
      <c r="B34" s="4">
        <v>2.5</v>
      </c>
      <c r="C34" t="s">
        <v>21</v>
      </c>
    </row>
    <row r="35" spans="1:3" ht="15.75" customHeight="1">
      <c r="A35" t="s">
        <v>3</v>
      </c>
      <c r="B35" s="4">
        <v>32.700000000000003</v>
      </c>
      <c r="C35" t="s">
        <v>4</v>
      </c>
    </row>
    <row r="36" spans="1:3" ht="15.75" customHeight="1">
      <c r="B36">
        <f>RADIANS(B35)</f>
        <v>0.57072266540214578</v>
      </c>
      <c r="C36" t="s">
        <v>9</v>
      </c>
    </row>
    <row r="37" spans="1:3" ht="15.75" customHeight="1"/>
    <row r="38" spans="1:3" ht="15.75" customHeight="1"/>
    <row r="39" spans="1:3" ht="15.75" customHeight="1">
      <c r="A39" t="s">
        <v>53</v>
      </c>
      <c r="B39" s="2">
        <f>-B34/(B33*COS(B36))</f>
        <v>-17.272367785152067</v>
      </c>
      <c r="C39" t="s">
        <v>5</v>
      </c>
    </row>
    <row r="40" spans="1:3" ht="15.75" customHeight="1"/>
    <row r="41" spans="1:3" ht="15.75" customHeight="1">
      <c r="A41" s="1" t="s">
        <v>55</v>
      </c>
    </row>
    <row r="42" spans="1:3" ht="15.75" customHeight="1">
      <c r="A42" t="s">
        <v>46</v>
      </c>
      <c r="B42" s="2">
        <f>B34*SIN(B36)/COS(B36)</f>
        <v>1.6049714753172581</v>
      </c>
      <c r="C42" t="s">
        <v>21</v>
      </c>
    </row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30</v>
      </c>
      <c r="B2" s="4">
        <v>295</v>
      </c>
      <c r="C2" t="s">
        <v>62</v>
      </c>
    </row>
    <row r="3" spans="1:3" ht="15.75" customHeight="1">
      <c r="B3">
        <f>B2*0.001</f>
        <v>0.29499999999999998</v>
      </c>
      <c r="C3" t="s">
        <v>21</v>
      </c>
    </row>
    <row r="4" spans="1:3" ht="15.75" customHeight="1">
      <c r="A4" t="s">
        <v>68</v>
      </c>
      <c r="B4" s="4">
        <v>340</v>
      </c>
      <c r="C4" t="s">
        <v>7</v>
      </c>
    </row>
    <row r="5" spans="1:3" ht="15.75" customHeight="1">
      <c r="B5">
        <f>B4*0.001</f>
        <v>0.34</v>
      </c>
      <c r="C5" t="s">
        <v>21</v>
      </c>
    </row>
    <row r="6" spans="1:3" ht="15.75" customHeight="1">
      <c r="A6" t="s">
        <v>71</v>
      </c>
      <c r="B6" s="4">
        <v>155</v>
      </c>
      <c r="C6" t="s">
        <v>7</v>
      </c>
    </row>
    <row r="7" spans="1:3" ht="15.75" customHeight="1">
      <c r="B7">
        <f>B6*0.001</f>
        <v>0.155</v>
      </c>
      <c r="C7" t="s">
        <v>21</v>
      </c>
    </row>
    <row r="8" spans="1:3" ht="15.75" customHeight="1">
      <c r="A8" t="s">
        <v>58</v>
      </c>
      <c r="B8" s="4">
        <v>155</v>
      </c>
      <c r="C8" t="s">
        <v>7</v>
      </c>
    </row>
    <row r="9" spans="1:3" ht="15.75" customHeight="1">
      <c r="B9">
        <f>B8*0.001</f>
        <v>0.155</v>
      </c>
      <c r="C9" t="s">
        <v>21</v>
      </c>
    </row>
    <row r="10" spans="1:3" ht="15.75" customHeight="1"/>
    <row r="11" spans="1:3" ht="15.75" customHeight="1"/>
    <row r="12" spans="1:3" ht="15.75" customHeight="1">
      <c r="A12" t="s">
        <v>38</v>
      </c>
      <c r="B12">
        <f>ATAN(B6/B4)</f>
        <v>0.42773491238624206</v>
      </c>
    </row>
    <row r="13" spans="1:3" ht="15.75" customHeight="1">
      <c r="A13" t="s">
        <v>75</v>
      </c>
      <c r="B13">
        <f>PI()/2-B12</f>
        <v>1.1430614144086544</v>
      </c>
    </row>
    <row r="14" spans="1:3" ht="15.75" customHeight="1">
      <c r="A14" t="s">
        <v>22</v>
      </c>
      <c r="B14">
        <f>PI()-B13</f>
        <v>1.9985312391811387</v>
      </c>
    </row>
    <row r="15" spans="1:3" ht="15.75" customHeight="1">
      <c r="A15" t="s">
        <v>49</v>
      </c>
      <c r="B15">
        <f>PI()-B14-B12</f>
        <v>0.71532650202241232</v>
      </c>
    </row>
    <row r="16" spans="1:3" ht="15.75" customHeight="1">
      <c r="A16" t="s">
        <v>77</v>
      </c>
      <c r="B16">
        <f>B5*TAN(B15)</f>
        <v>0.29540322580645156</v>
      </c>
    </row>
    <row r="17" spans="1:3" ht="15.75" customHeight="1">
      <c r="A17" t="s">
        <v>48</v>
      </c>
      <c r="B17" s="2">
        <f>B3/B16</f>
        <v>0.99863499863499872</v>
      </c>
      <c r="C17" t="s">
        <v>5</v>
      </c>
    </row>
    <row r="18" spans="1:3" ht="15.75" customHeight="1"/>
    <row r="19" spans="1:3" ht="15.75" customHeight="1"/>
    <row r="20" spans="1:3" ht="15.75" customHeight="1">
      <c r="A20" s="1" t="s">
        <v>31</v>
      </c>
    </row>
    <row r="21" spans="1:3" ht="15.75" customHeight="1">
      <c r="A21" t="s">
        <v>81</v>
      </c>
      <c r="B21">
        <f>B5/COS(B15)</f>
        <v>0.45040322580645165</v>
      </c>
      <c r="C21" t="s">
        <v>12</v>
      </c>
    </row>
    <row r="22" spans="1:3" ht="15.75" customHeight="1">
      <c r="A22" t="s">
        <v>83</v>
      </c>
      <c r="B22">
        <f>B21-B9</f>
        <v>0.29540322580645162</v>
      </c>
      <c r="C22" t="s">
        <v>12</v>
      </c>
    </row>
    <row r="23" spans="1:3" ht="15.75" customHeight="1">
      <c r="A23" t="s">
        <v>84</v>
      </c>
      <c r="B23">
        <f>B9</f>
        <v>0.155</v>
      </c>
      <c r="C23" t="s">
        <v>12</v>
      </c>
    </row>
    <row r="24" spans="1:3" ht="15.75" customHeight="1">
      <c r="A24" t="s">
        <v>88</v>
      </c>
      <c r="B24" s="2">
        <f>-B17*B22/B23</f>
        <v>-1.9032258064516132</v>
      </c>
      <c r="C24" t="s">
        <v>5</v>
      </c>
    </row>
    <row r="25" spans="1:3" ht="15.75" customHeight="1"/>
    <row r="26" spans="1:3" ht="15.75" customHeight="1"/>
    <row r="27" spans="1:3" ht="15.75" customHeight="1">
      <c r="A27" s="1" t="s">
        <v>35</v>
      </c>
    </row>
    <row r="28" spans="1:3" ht="15.75" customHeight="1">
      <c r="A28" t="s">
        <v>91</v>
      </c>
      <c r="B28">
        <f>B9^2+B7^2-2*B9*B7*COS(PI()/2 - B15)</f>
        <v>1.6535738585496867E-2</v>
      </c>
      <c r="C28" t="s">
        <v>93</v>
      </c>
    </row>
    <row r="29" spans="1:3" ht="15.75" customHeight="1">
      <c r="A29" t="s">
        <v>95</v>
      </c>
      <c r="B29">
        <f>SQRT(B22^2+B28-2*B22*SQRT(B28)*COS(B14))</f>
        <v>0.36784924332783048</v>
      </c>
      <c r="C29" t="s">
        <v>12</v>
      </c>
    </row>
    <row r="30" spans="1:3" ht="15.75" customHeight="1">
      <c r="A30" t="s">
        <v>46</v>
      </c>
      <c r="B30" s="2">
        <f>B17*B29</f>
        <v>0.36734712860857333</v>
      </c>
      <c r="C30" t="s">
        <v>21</v>
      </c>
    </row>
    <row r="31" spans="1:3" ht="15.75" customHeight="1"/>
    <row r="32" spans="1:3" ht="15.75" customHeight="1"/>
    <row r="33" spans="1:3" ht="15.75" customHeight="1">
      <c r="A33" s="1" t="s">
        <v>55</v>
      </c>
    </row>
    <row r="34" spans="1:3" ht="15.75" customHeight="1">
      <c r="A34" t="s">
        <v>1</v>
      </c>
      <c r="B34" s="4">
        <v>3</v>
      </c>
      <c r="C34" t="s">
        <v>5</v>
      </c>
    </row>
    <row r="35" spans="1:3" ht="15.75" customHeight="1">
      <c r="A35" t="s">
        <v>33</v>
      </c>
      <c r="B35" s="4">
        <v>1200</v>
      </c>
      <c r="C35" t="s">
        <v>7</v>
      </c>
    </row>
    <row r="36" spans="1:3" ht="15.75" customHeight="1">
      <c r="B36">
        <f>B35*0.001</f>
        <v>1.2</v>
      </c>
      <c r="C36" t="s">
        <v>21</v>
      </c>
    </row>
    <row r="37" spans="1:3" ht="15.75" customHeight="1">
      <c r="A37" t="s">
        <v>100</v>
      </c>
      <c r="B37" s="4">
        <v>190</v>
      </c>
      <c r="C37" t="s">
        <v>7</v>
      </c>
    </row>
    <row r="38" spans="1:3" ht="15.75" customHeight="1">
      <c r="B38">
        <f>B37*0.001</f>
        <v>0.19</v>
      </c>
      <c r="C38" t="s">
        <v>21</v>
      </c>
    </row>
    <row r="39" spans="1:3" ht="15.75" customHeight="1">
      <c r="A39" t="s">
        <v>104</v>
      </c>
      <c r="B39" s="4">
        <v>370</v>
      </c>
      <c r="C39" t="s">
        <v>7</v>
      </c>
    </row>
    <row r="40" spans="1:3" ht="15.75" customHeight="1">
      <c r="B40">
        <f>B39*0.001</f>
        <v>0.37</v>
      </c>
      <c r="C40" t="s">
        <v>21</v>
      </c>
    </row>
    <row r="41" spans="1:3" ht="15.75" customHeight="1">
      <c r="A41" t="s">
        <v>3</v>
      </c>
      <c r="B41" s="4">
        <v>30</v>
      </c>
      <c r="C41" t="s">
        <v>4</v>
      </c>
    </row>
    <row r="42" spans="1:3" ht="15.75" customHeight="1">
      <c r="B42">
        <f>RADIANS(B41)</f>
        <v>0.52359877559829882</v>
      </c>
      <c r="C42" t="s">
        <v>9</v>
      </c>
    </row>
    <row r="43" spans="1:3" ht="15.75" customHeight="1"/>
    <row r="44" spans="1:3" ht="15.75" customHeight="1">
      <c r="A44" t="s">
        <v>107</v>
      </c>
      <c r="B44">
        <f>SQRT(B38^2+B40^2)</f>
        <v>0.41593268686170842</v>
      </c>
      <c r="C44" t="s">
        <v>12</v>
      </c>
    </row>
    <row r="45" spans="1:3" ht="15.75" customHeight="1">
      <c r="A45" t="s">
        <v>38</v>
      </c>
      <c r="B45">
        <f>ATAN(B40/B38)</f>
        <v>1.0963964440029892</v>
      </c>
      <c r="C45" t="s">
        <v>9</v>
      </c>
    </row>
    <row r="46" spans="1:3" ht="15.75" customHeight="1">
      <c r="A46" t="s">
        <v>109</v>
      </c>
      <c r="B46">
        <f>SIN(B42)*B36/SIN(B45)</f>
        <v>0.67448543815412165</v>
      </c>
      <c r="C46" t="s">
        <v>12</v>
      </c>
    </row>
    <row r="47" spans="1:3" ht="15.75" customHeight="1">
      <c r="A47" t="s">
        <v>112</v>
      </c>
      <c r="B47" s="2">
        <f>B34*B44/B46</f>
        <v>1.8500000000000003</v>
      </c>
      <c r="C47" t="s">
        <v>5</v>
      </c>
    </row>
    <row r="48" spans="1:3" ht="15.75" customHeight="1"/>
    <row r="49" spans="1:3" ht="15.75" customHeight="1">
      <c r="A49" s="1" t="s">
        <v>114</v>
      </c>
    </row>
    <row r="50" spans="1:3" ht="15.75" customHeight="1">
      <c r="A50" t="s">
        <v>115</v>
      </c>
      <c r="B50">
        <f>B36*SIN(PI()-B45-B42)/SIN(B45)</f>
        <v>1.3473385926494343</v>
      </c>
      <c r="C50" t="s">
        <v>12</v>
      </c>
    </row>
    <row r="51" spans="1:3" ht="15.75" customHeight="1">
      <c r="A51" t="s">
        <v>46</v>
      </c>
      <c r="B51" s="2">
        <f>B47*B50</f>
        <v>2.492576396401454</v>
      </c>
      <c r="C51" t="s">
        <v>21</v>
      </c>
    </row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48</v>
      </c>
      <c r="B2" s="4">
        <v>5</v>
      </c>
      <c r="C2" t="s">
        <v>5</v>
      </c>
    </row>
    <row r="3" spans="1:3" ht="15.75" customHeight="1">
      <c r="A3" t="s">
        <v>63</v>
      </c>
      <c r="B3" s="4">
        <v>24</v>
      </c>
      <c r="C3" t="s">
        <v>65</v>
      </c>
    </row>
    <row r="4" spans="1:3" ht="15.75" customHeight="1">
      <c r="A4" t="s">
        <v>66</v>
      </c>
      <c r="B4" s="4">
        <v>330</v>
      </c>
      <c r="C4" t="s">
        <v>7</v>
      </c>
    </row>
    <row r="5" spans="1:3" ht="15.75" customHeight="1">
      <c r="B5" s="7">
        <v>0.33</v>
      </c>
      <c r="C5" t="s">
        <v>12</v>
      </c>
    </row>
    <row r="6" spans="1:3" ht="15.75" customHeight="1">
      <c r="A6" t="s">
        <v>69</v>
      </c>
      <c r="B6" s="4">
        <v>600</v>
      </c>
      <c r="C6" t="s">
        <v>7</v>
      </c>
    </row>
    <row r="7" spans="1:3" ht="15.75" customHeight="1">
      <c r="B7">
        <f>B6*0.001</f>
        <v>0.6</v>
      </c>
      <c r="C7" t="s">
        <v>12</v>
      </c>
    </row>
    <row r="8" spans="1:3" ht="15.75" customHeight="1">
      <c r="A8" t="s">
        <v>72</v>
      </c>
      <c r="B8" s="4">
        <v>230</v>
      </c>
      <c r="C8" t="s">
        <v>7</v>
      </c>
    </row>
    <row r="9" spans="1:3" ht="15.75" customHeight="1">
      <c r="B9">
        <f>B8*0.001</f>
        <v>0.23</v>
      </c>
      <c r="C9" t="s">
        <v>12</v>
      </c>
    </row>
    <row r="10" spans="1:3" ht="15.75" customHeight="1">
      <c r="A10" t="s">
        <v>74</v>
      </c>
      <c r="B10" s="4">
        <v>330</v>
      </c>
      <c r="C10" t="s">
        <v>7</v>
      </c>
    </row>
    <row r="11" spans="1:3" ht="15.75" customHeight="1">
      <c r="B11">
        <f>B10*0.001</f>
        <v>0.33</v>
      </c>
      <c r="C11" t="s">
        <v>12</v>
      </c>
    </row>
    <row r="12" spans="1:3" ht="15.75" customHeight="1"/>
    <row r="13" spans="1:3" ht="15.75" customHeight="1">
      <c r="A13" t="s">
        <v>3</v>
      </c>
      <c r="B13">
        <f>ATAN(600/B4)</f>
        <v>1.0679531158670357</v>
      </c>
      <c r="C13" t="s">
        <v>9</v>
      </c>
    </row>
    <row r="14" spans="1:3" ht="15.75" customHeight="1">
      <c r="A14" t="s">
        <v>49</v>
      </c>
      <c r="B14">
        <f>ATAN(500/B10)</f>
        <v>0.9874233198010407</v>
      </c>
      <c r="C14" t="s">
        <v>9</v>
      </c>
    </row>
    <row r="15" spans="1:3" ht="15.75" customHeight="1">
      <c r="A15" t="s">
        <v>80</v>
      </c>
      <c r="B15">
        <f>ATAN(300/B6)</f>
        <v>0.46364760900080609</v>
      </c>
      <c r="C15" t="s">
        <v>9</v>
      </c>
    </row>
    <row r="16" spans="1:3" ht="15.75" customHeight="1">
      <c r="A16" t="s">
        <v>22</v>
      </c>
      <c r="B16">
        <f>ATAN(100/(B6+B8))</f>
        <v>0.1199039853650239</v>
      </c>
      <c r="C16" t="s">
        <v>9</v>
      </c>
    </row>
    <row r="17" spans="1:3" ht="15.75" customHeight="1"/>
    <row r="18" spans="1:3" ht="15.75" customHeight="1">
      <c r="A18" t="s">
        <v>33</v>
      </c>
      <c r="B18">
        <f>SQRT(600^2+B4^2)</f>
        <v>684.76273263079963</v>
      </c>
      <c r="C18" t="s">
        <v>7</v>
      </c>
    </row>
    <row r="19" spans="1:3" ht="15.75" customHeight="1">
      <c r="A19" t="s">
        <v>20</v>
      </c>
      <c r="B19">
        <f>SQRT(300^2+B6^2)</f>
        <v>670.82039324993696</v>
      </c>
      <c r="C19" t="s">
        <v>7</v>
      </c>
    </row>
    <row r="20" spans="1:3" ht="15.75" customHeight="1">
      <c r="A20" t="s">
        <v>89</v>
      </c>
      <c r="B20">
        <f>SQRT(100^2+(B6+B8)^2)</f>
        <v>836.0023923410746</v>
      </c>
      <c r="C20" t="s">
        <v>7</v>
      </c>
    </row>
    <row r="21" spans="1:3" ht="15.75" customHeight="1">
      <c r="A21" t="s">
        <v>92</v>
      </c>
      <c r="B21">
        <f>SQRT(500^2+B10^2)</f>
        <v>599.08263203000638</v>
      </c>
      <c r="C21" t="s">
        <v>7</v>
      </c>
    </row>
    <row r="22" spans="1:3" ht="15.75" customHeight="1"/>
    <row r="23" spans="1:3" ht="15.75" customHeight="1">
      <c r="A23" t="s">
        <v>97</v>
      </c>
      <c r="B23">
        <f>-0.6*B2</f>
        <v>-3</v>
      </c>
      <c r="C23" t="s">
        <v>21</v>
      </c>
    </row>
    <row r="24" spans="1:3" ht="15.75" customHeight="1">
      <c r="A24" t="s">
        <v>98</v>
      </c>
      <c r="B24">
        <f>0.3*B2</f>
        <v>1.5</v>
      </c>
      <c r="C24" t="s">
        <v>21</v>
      </c>
    </row>
    <row r="25" spans="1:3" ht="15.75" customHeight="1">
      <c r="A25" t="s">
        <v>46</v>
      </c>
      <c r="B25">
        <f>SQRT(B24^2+B23^2)</f>
        <v>3.3541019662496847</v>
      </c>
      <c r="C25" t="s">
        <v>21</v>
      </c>
    </row>
    <row r="26" spans="1:3" ht="15.75" customHeight="1"/>
    <row r="27" spans="1:3" ht="15.75" customHeight="1">
      <c r="A27" t="s">
        <v>73</v>
      </c>
      <c r="B27" s="2">
        <f>((-B11/-0.5)*(-0.6)*B2-B5*B2)/((B7+B9)-((-B11/-0.5)*0.1))</f>
        <v>-4.7513089005235596</v>
      </c>
      <c r="C27" t="s">
        <v>5</v>
      </c>
    </row>
    <row r="28" spans="1:3" ht="15.75" customHeight="1">
      <c r="A28" t="s">
        <v>103</v>
      </c>
      <c r="B28">
        <f>(-0.6*B2+0.1*B27)/(-0.5)</f>
        <v>6.9502617801047117</v>
      </c>
      <c r="C28" t="s">
        <v>5</v>
      </c>
    </row>
    <row r="29" spans="1:3" ht="15.75" customHeight="1"/>
    <row r="30" spans="1:3" ht="15.75" customHeight="1">
      <c r="A30" s="1" t="s">
        <v>31</v>
      </c>
    </row>
    <row r="31" spans="1:3" ht="15.75" customHeight="1">
      <c r="A31" t="s">
        <v>105</v>
      </c>
      <c r="B31" s="2">
        <f>(-(1.2*B3+2*B5*B2^2+2*(B9+B7)*B27^2+2*B11*B28^2)*B11-B5*B3+0.6*B2^2-0.1*B27^2-0.5*B28^2)/((B9+B7)-0.2*B11)</f>
        <v>-74.826165122746957</v>
      </c>
      <c r="C31" t="s">
        <v>65</v>
      </c>
    </row>
    <row r="32" spans="1:3" ht="15.75" customHeight="1"/>
    <row r="33" spans="1:3" ht="15.75" customHeight="1">
      <c r="A33" s="1" t="s">
        <v>35</v>
      </c>
    </row>
    <row r="34" spans="1:3" ht="15.75" customHeight="1">
      <c r="A34" t="s">
        <v>110</v>
      </c>
      <c r="B34">
        <f>-B5*B2^2-0.6*B3-0.3*B31-B7*B27^2</f>
        <v>-13.747112224092549</v>
      </c>
      <c r="C34" t="s">
        <v>78</v>
      </c>
    </row>
    <row r="35" spans="1:3" ht="15.75" customHeight="1">
      <c r="A35" t="s">
        <v>113</v>
      </c>
      <c r="B35">
        <f>B5*B3-0.6*B2^2--B7*B31-0.3*B27^2</f>
        <v>-58.74817995410649</v>
      </c>
      <c r="C35" t="s">
        <v>78</v>
      </c>
    </row>
    <row r="36" spans="1:3" ht="15.75" customHeight="1">
      <c r="A36" t="s">
        <v>46</v>
      </c>
      <c r="B36" s="2">
        <f>SQRT(B35^2+B34^2)</f>
        <v>60.33516174190531</v>
      </c>
      <c r="C36" t="s">
        <v>78</v>
      </c>
    </row>
    <row r="37" spans="1:3" ht="15.75" customHeight="1"/>
    <row r="38" spans="1:3" ht="15.75" customHeight="1">
      <c r="A38" s="1" t="s">
        <v>55</v>
      </c>
    </row>
    <row r="39" spans="1:3" ht="15.75" customHeight="1">
      <c r="A39" t="s">
        <v>117</v>
      </c>
      <c r="B39">
        <f>ATAN(ABS(B35)/ABS(B34))</f>
        <v>1.3409316272889951</v>
      </c>
      <c r="C39" t="s">
        <v>9</v>
      </c>
    </row>
    <row r="40" spans="1:3" ht="15.75" customHeight="1">
      <c r="B40" s="2">
        <f>180+DEGREES(B39)</f>
        <v>256.82972285926894</v>
      </c>
      <c r="C40" t="s">
        <v>4</v>
      </c>
    </row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1.25" defaultRowHeight="15" customHeight="1"/>
  <cols>
    <col min="1" max="26" width="10.58203125" customWidth="1"/>
  </cols>
  <sheetData>
    <row r="1" spans="1:8" ht="15.75" customHeight="1">
      <c r="A1" s="6" t="s">
        <v>64</v>
      </c>
    </row>
    <row r="2" spans="1:8" ht="15.75" customHeight="1">
      <c r="A2" s="8" t="s">
        <v>67</v>
      </c>
    </row>
    <row r="3" spans="1:8" ht="15.75" customHeight="1">
      <c r="A3" s="8" t="s">
        <v>0</v>
      </c>
    </row>
    <row r="4" spans="1:8" ht="15.75" customHeight="1">
      <c r="A4" s="7" t="s">
        <v>70</v>
      </c>
      <c r="B4" s="9">
        <v>11</v>
      </c>
      <c r="C4" s="7" t="s">
        <v>21</v>
      </c>
      <c r="E4">
        <f>RADIANS(45)</f>
        <v>0.78539816339744828</v>
      </c>
    </row>
    <row r="5" spans="1:8" ht="15.75" customHeight="1">
      <c r="A5" s="7" t="s">
        <v>48</v>
      </c>
      <c r="B5" s="9">
        <v>2.5</v>
      </c>
      <c r="C5" s="7" t="s">
        <v>5</v>
      </c>
    </row>
    <row r="6" spans="1:8" ht="15.75" customHeight="1">
      <c r="A6" s="7" t="s">
        <v>73</v>
      </c>
      <c r="B6" s="9">
        <v>4.5999999999999996</v>
      </c>
      <c r="C6" s="7" t="s">
        <v>5</v>
      </c>
    </row>
    <row r="7" spans="1:8" ht="15.75" customHeight="1">
      <c r="A7" s="7" t="s">
        <v>33</v>
      </c>
      <c r="B7" s="9">
        <v>600</v>
      </c>
      <c r="C7" s="7" t="s">
        <v>7</v>
      </c>
    </row>
    <row r="8" spans="1:8" ht="15.75" customHeight="1">
      <c r="B8">
        <f>B7/1000</f>
        <v>0.6</v>
      </c>
      <c r="C8" s="7" t="s">
        <v>12</v>
      </c>
    </row>
    <row r="9" spans="1:8" ht="15.75" customHeight="1">
      <c r="A9" s="7" t="s">
        <v>20</v>
      </c>
      <c r="B9" s="9">
        <v>400</v>
      </c>
      <c r="C9" s="7" t="s">
        <v>7</v>
      </c>
    </row>
    <row r="10" spans="1:8" ht="15.75" customHeight="1">
      <c r="B10">
        <f>B9/1000</f>
        <v>0.4</v>
      </c>
      <c r="C10" s="7" t="s">
        <v>12</v>
      </c>
    </row>
    <row r="11" spans="1:8" ht="15.75" customHeight="1"/>
    <row r="12" spans="1:8" ht="15.75" customHeight="1">
      <c r="A12" s="7" t="s">
        <v>76</v>
      </c>
      <c r="B12">
        <f>(B5^2)*SQRT(B8^2+B8^2)</f>
        <v>5.3033008588991066</v>
      </c>
      <c r="C12" s="7" t="s">
        <v>78</v>
      </c>
      <c r="D12" s="7" t="s">
        <v>79</v>
      </c>
      <c r="E12">
        <f>B12*COS(E4)</f>
        <v>3.7500000000000004</v>
      </c>
      <c r="F12" s="8" t="s">
        <v>82</v>
      </c>
      <c r="G12" s="10">
        <f>-B12*SIN(E4)</f>
        <v>-3.75</v>
      </c>
      <c r="H12" s="8" t="s">
        <v>85</v>
      </c>
    </row>
    <row r="13" spans="1:8" ht="15.75" customHeight="1">
      <c r="A13" s="7" t="s">
        <v>86</v>
      </c>
      <c r="B13" s="7">
        <v>0</v>
      </c>
      <c r="C13" s="7" t="s">
        <v>78</v>
      </c>
    </row>
    <row r="14" spans="1:8" ht="15.75" customHeight="1"/>
    <row r="15" spans="1:8" ht="15.75" customHeight="1">
      <c r="A15" s="7" t="s">
        <v>87</v>
      </c>
      <c r="B15">
        <f>B6^2*B10</f>
        <v>8.4639999999999986</v>
      </c>
      <c r="C15" s="7" t="s">
        <v>78</v>
      </c>
      <c r="D15" s="7" t="s">
        <v>79</v>
      </c>
      <c r="E15" s="10">
        <f>-B15</f>
        <v>-8.4639999999999986</v>
      </c>
      <c r="F15" s="8" t="s">
        <v>82</v>
      </c>
      <c r="G15" s="7">
        <v>0</v>
      </c>
      <c r="H15" s="8" t="s">
        <v>85</v>
      </c>
    </row>
    <row r="16" spans="1:8" ht="15.75" customHeight="1"/>
    <row r="17" spans="1:9" ht="15.75" customHeight="1">
      <c r="A17" s="7" t="s">
        <v>90</v>
      </c>
      <c r="B17">
        <f>SQRT(E17^2+G17^2)</f>
        <v>6.0236447438407241</v>
      </c>
      <c r="C17" s="7" t="s">
        <v>78</v>
      </c>
      <c r="E17">
        <f>SUM(E12:E15)</f>
        <v>-4.7139999999999986</v>
      </c>
      <c r="F17" s="8" t="s">
        <v>82</v>
      </c>
      <c r="G17">
        <f>SUM(G12:G15)</f>
        <v>-3.75</v>
      </c>
      <c r="H17" s="8" t="s">
        <v>85</v>
      </c>
    </row>
    <row r="18" spans="1:9" ht="15.75" customHeight="1">
      <c r="A18" s="1"/>
    </row>
    <row r="19" spans="1:9" ht="15.75" customHeight="1">
      <c r="A19" s="7" t="s">
        <v>94</v>
      </c>
      <c r="B19" s="7">
        <v>0</v>
      </c>
      <c r="C19" s="7" t="s">
        <v>78</v>
      </c>
    </row>
    <row r="20" spans="1:9" ht="15.75" customHeight="1"/>
    <row r="21" spans="1:9" ht="15.75" customHeight="1">
      <c r="A21" s="7" t="s">
        <v>96</v>
      </c>
      <c r="B21">
        <f>2*B6*B4</f>
        <v>101.19999999999999</v>
      </c>
      <c r="C21" s="7" t="s">
        <v>78</v>
      </c>
      <c r="D21" s="7" t="s">
        <v>79</v>
      </c>
      <c r="E21" s="7">
        <v>0</v>
      </c>
      <c r="F21" s="8" t="s">
        <v>82</v>
      </c>
      <c r="G21">
        <f>B21</f>
        <v>101.19999999999999</v>
      </c>
      <c r="H21" s="8" t="s">
        <v>85</v>
      </c>
    </row>
    <row r="22" spans="1:9" ht="15.75" customHeight="1"/>
    <row r="23" spans="1:9" ht="15.75" customHeight="1">
      <c r="A23" s="7" t="s">
        <v>99</v>
      </c>
      <c r="B23" s="11">
        <f>SQRT(E23^2+G23^2)</f>
        <v>97.563949776543993</v>
      </c>
      <c r="C23" s="7" t="s">
        <v>78</v>
      </c>
      <c r="D23" s="7" t="s">
        <v>79</v>
      </c>
      <c r="E23">
        <f>SUM(E17:E21)</f>
        <v>-4.7139999999999986</v>
      </c>
      <c r="F23" s="8" t="s">
        <v>82</v>
      </c>
      <c r="G23">
        <f>SUM(G17:G21)</f>
        <v>97.449999999999989</v>
      </c>
      <c r="H23" s="8" t="s">
        <v>85</v>
      </c>
    </row>
    <row r="24" spans="1:9" ht="15.75" customHeight="1"/>
    <row r="25" spans="1:9" ht="15.75" customHeight="1"/>
    <row r="26" spans="1:9" ht="15.75" customHeight="1">
      <c r="A26" s="8" t="s">
        <v>31</v>
      </c>
    </row>
    <row r="27" spans="1:9" ht="15.75" customHeight="1">
      <c r="A27" s="7" t="s">
        <v>2</v>
      </c>
      <c r="B27" s="9">
        <v>9</v>
      </c>
      <c r="C27" s="7" t="s">
        <v>5</v>
      </c>
    </row>
    <row r="28" spans="1:9" ht="15.75" customHeight="1">
      <c r="A28" s="7" t="s">
        <v>3</v>
      </c>
      <c r="B28" s="9">
        <v>32</v>
      </c>
      <c r="C28" s="7" t="s">
        <v>4</v>
      </c>
      <c r="D28" s="7" t="s">
        <v>101</v>
      </c>
      <c r="E28">
        <f>180-2*B28</f>
        <v>116</v>
      </c>
      <c r="F28" s="7" t="s">
        <v>4</v>
      </c>
      <c r="G28" s="7" t="s">
        <v>102</v>
      </c>
      <c r="H28">
        <f>B28*2</f>
        <v>64</v>
      </c>
      <c r="I28" s="7" t="s">
        <v>4</v>
      </c>
    </row>
    <row r="29" spans="1:9" ht="15.75" customHeight="1">
      <c r="B29">
        <f>RADIANS(B28)</f>
        <v>0.55850536063818546</v>
      </c>
      <c r="E29">
        <f>RADIANS(E28)</f>
        <v>2.0245819323134224</v>
      </c>
      <c r="H29">
        <f>RADIANS(H28)</f>
        <v>1.1170107212763709</v>
      </c>
    </row>
    <row r="30" spans="1:9" ht="15.75" customHeight="1">
      <c r="A30" s="7" t="s">
        <v>106</v>
      </c>
      <c r="B30" s="9">
        <v>320</v>
      </c>
      <c r="C30" s="7" t="s">
        <v>7</v>
      </c>
    </row>
    <row r="31" spans="1:9" ht="15.75" customHeight="1">
      <c r="B31">
        <f>B30/1000</f>
        <v>0.32</v>
      </c>
      <c r="C31" s="7" t="s">
        <v>7</v>
      </c>
    </row>
    <row r="32" spans="1:9" ht="15.75" customHeight="1"/>
    <row r="33" spans="1:8" ht="15.75" customHeight="1">
      <c r="A33" s="7" t="s">
        <v>30</v>
      </c>
      <c r="B33">
        <f>B27*B31</f>
        <v>2.88</v>
      </c>
      <c r="C33" s="7" t="s">
        <v>21</v>
      </c>
    </row>
    <row r="34" spans="1:8" ht="15.75" customHeight="1">
      <c r="A34" s="7" t="s">
        <v>45</v>
      </c>
      <c r="B34">
        <f>COS(B29)*B33</f>
        <v>2.4423785169305066</v>
      </c>
      <c r="C34" s="7" t="s">
        <v>21</v>
      </c>
    </row>
    <row r="35" spans="1:8" ht="15.75" customHeight="1">
      <c r="A35" s="7" t="s">
        <v>108</v>
      </c>
      <c r="B35">
        <f>SQRT(B31^2+B31^2-2*B31*B31*COS(E29))</f>
        <v>0.54275078154011269</v>
      </c>
      <c r="C35" s="7" t="s">
        <v>21</v>
      </c>
    </row>
    <row r="36" spans="1:8" ht="15.75" customHeight="1">
      <c r="A36" s="12" t="s">
        <v>111</v>
      </c>
      <c r="B36" s="11">
        <f>-B34/B35</f>
        <v>-4.4999999999999991</v>
      </c>
      <c r="C36" s="12" t="s">
        <v>5</v>
      </c>
    </row>
    <row r="37" spans="1:8" ht="15.75" customHeight="1">
      <c r="A37" s="13"/>
      <c r="C37" s="13"/>
    </row>
    <row r="38" spans="1:8" ht="15.75" customHeight="1">
      <c r="A38" s="6" t="s">
        <v>35</v>
      </c>
      <c r="B38" s="7" t="s">
        <v>116</v>
      </c>
      <c r="C38" s="13"/>
    </row>
    <row r="39" spans="1:8" ht="15.75" customHeight="1">
      <c r="A39" s="12" t="s">
        <v>118</v>
      </c>
      <c r="B39">
        <f>B27^2*B31</f>
        <v>25.92</v>
      </c>
      <c r="C39" s="12" t="s">
        <v>78</v>
      </c>
      <c r="D39" s="7" t="s">
        <v>79</v>
      </c>
      <c r="E39">
        <f>B39*COS(H29)</f>
        <v>11.362580124772888</v>
      </c>
      <c r="F39" s="8" t="s">
        <v>82</v>
      </c>
      <c r="G39" s="10">
        <f>-B39*SIN(H29)</f>
        <v>-23.296741680074412</v>
      </c>
      <c r="H39" s="8" t="s">
        <v>85</v>
      </c>
    </row>
    <row r="40" spans="1:8" ht="15.75" customHeight="1">
      <c r="A40" s="12" t="s">
        <v>119</v>
      </c>
      <c r="B40" s="7">
        <v>0</v>
      </c>
      <c r="C40" s="12" t="s">
        <v>78</v>
      </c>
    </row>
    <row r="41" spans="1:8" ht="15.75" customHeight="1">
      <c r="A41" s="13"/>
      <c r="C41" s="13"/>
    </row>
    <row r="42" spans="1:8" ht="15.75" customHeight="1">
      <c r="A42" s="12" t="s">
        <v>120</v>
      </c>
      <c r="B42">
        <f>B36^2*B35</f>
        <v>10.990703326187278</v>
      </c>
      <c r="C42" s="12" t="s">
        <v>78</v>
      </c>
      <c r="D42" s="7" t="s">
        <v>79</v>
      </c>
      <c r="E42">
        <f>B42*COS(B29)</f>
        <v>9.3206450311932194</v>
      </c>
      <c r="F42" s="8" t="s">
        <v>82</v>
      </c>
      <c r="G42" s="10">
        <f>-B42*SIN(B29)</f>
        <v>-5.8241854200186003</v>
      </c>
      <c r="H42" s="8" t="s">
        <v>85</v>
      </c>
    </row>
    <row r="43" spans="1:8" ht="15.75" customHeight="1">
      <c r="A43" s="12" t="s">
        <v>121</v>
      </c>
      <c r="C43" s="12" t="s">
        <v>78</v>
      </c>
    </row>
    <row r="44" spans="1:8" ht="15.75" customHeight="1">
      <c r="A44" s="13"/>
      <c r="C44" s="13"/>
    </row>
    <row r="45" spans="1:8" ht="15.75" customHeight="1">
      <c r="A45" s="12" t="s">
        <v>96</v>
      </c>
      <c r="C45" s="12" t="s">
        <v>78</v>
      </c>
    </row>
    <row r="46" spans="1:8" ht="15.75" customHeight="1">
      <c r="A46" s="13"/>
      <c r="C46" s="13"/>
    </row>
    <row r="47" spans="1:8" ht="15.75" customHeight="1">
      <c r="A47" s="13"/>
      <c r="C47" s="13"/>
    </row>
    <row r="48" spans="1:8" ht="15.75" customHeight="1">
      <c r="A48" s="13"/>
      <c r="C48" s="13"/>
    </row>
    <row r="49" spans="1:3" ht="15.75" customHeight="1">
      <c r="A49" s="13"/>
      <c r="C49" s="13"/>
    </row>
    <row r="50" spans="1:3" ht="15.75" customHeight="1">
      <c r="A50" s="13"/>
      <c r="C50" s="13"/>
    </row>
    <row r="51" spans="1:3" ht="15.75" customHeight="1">
      <c r="A51" s="13"/>
      <c r="C51" s="13"/>
    </row>
    <row r="52" spans="1:3" ht="15.75" customHeight="1">
      <c r="A52" s="13"/>
      <c r="C52" s="13"/>
    </row>
    <row r="53" spans="1:3" ht="15.75" customHeight="1">
      <c r="A53" s="13"/>
      <c r="C53" s="13"/>
    </row>
    <row r="54" spans="1:3" ht="15.75" customHeight="1">
      <c r="A54" s="13"/>
      <c r="C54" s="13"/>
    </row>
    <row r="55" spans="1:3" ht="15.75" customHeight="1">
      <c r="A55" s="13"/>
      <c r="C55" s="13"/>
    </row>
    <row r="56" spans="1:3" ht="15.75" customHeight="1">
      <c r="A56" s="13"/>
      <c r="C56" s="13"/>
    </row>
    <row r="57" spans="1:3" ht="15.75" customHeight="1">
      <c r="A57" s="13"/>
      <c r="C57" s="13"/>
    </row>
    <row r="58" spans="1:3" ht="15.75" customHeight="1">
      <c r="A58" s="13"/>
      <c r="C58" s="13"/>
    </row>
    <row r="59" spans="1:3" ht="15.75" customHeight="1">
      <c r="A59" s="13"/>
      <c r="C59" s="13"/>
    </row>
    <row r="60" spans="1:3" ht="15.75" customHeight="1">
      <c r="A60" s="13"/>
      <c r="C60" s="13"/>
    </row>
    <row r="61" spans="1:3" ht="15.75" customHeight="1">
      <c r="A61" s="13"/>
      <c r="B61" s="13"/>
      <c r="C61" s="13"/>
    </row>
    <row r="62" spans="1:3" ht="15.75" customHeight="1">
      <c r="A62" s="13"/>
      <c r="B62" s="13"/>
      <c r="C62" s="13"/>
    </row>
    <row r="63" spans="1:3" ht="15.75" customHeight="1">
      <c r="A63" s="13"/>
      <c r="B63" s="13"/>
      <c r="C63" s="13"/>
    </row>
    <row r="64" spans="1:3" ht="15.75" customHeight="1">
      <c r="A64" s="13"/>
      <c r="B64" s="13"/>
      <c r="C64" s="13"/>
    </row>
    <row r="65" spans="1:3" ht="15.75" customHeight="1">
      <c r="A65" s="13"/>
      <c r="B65" s="13"/>
      <c r="C65" s="13"/>
    </row>
    <row r="66" spans="1:3" ht="15.75" customHeight="1">
      <c r="A66" s="13"/>
      <c r="B66" s="13"/>
      <c r="C66" s="13"/>
    </row>
    <row r="67" spans="1:3" ht="15.75" customHeight="1">
      <c r="A67" s="13"/>
      <c r="B67" s="13"/>
      <c r="C67" s="13"/>
    </row>
    <row r="68" spans="1:3" ht="15.75" customHeight="1">
      <c r="A68" s="13"/>
      <c r="B68" s="13"/>
      <c r="C68" s="13"/>
    </row>
    <row r="69" spans="1:3" ht="15.75" customHeight="1">
      <c r="A69" s="13"/>
      <c r="B69" s="14"/>
      <c r="C69" s="13"/>
    </row>
    <row r="70" spans="1:3" ht="15.75" customHeight="1"/>
    <row r="71" spans="1:3" ht="15.75" customHeight="1"/>
    <row r="72" spans="1:3" ht="15.75" customHeight="1"/>
    <row r="73" spans="1:3" ht="15.75" customHeight="1"/>
    <row r="74" spans="1:3" ht="15.75" customHeight="1"/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48</v>
      </c>
      <c r="B2" s="4">
        <v>21</v>
      </c>
      <c r="C2" t="s">
        <v>5</v>
      </c>
    </row>
    <row r="3" spans="1:3" ht="15.75" customHeight="1">
      <c r="A3" t="s">
        <v>58</v>
      </c>
      <c r="B3" s="5">
        <v>200</v>
      </c>
      <c r="C3" t="s">
        <v>7</v>
      </c>
    </row>
    <row r="4" spans="1:3" ht="15.75" customHeight="1">
      <c r="B4">
        <f>B3*0.001</f>
        <v>0.2</v>
      </c>
      <c r="C4" t="s">
        <v>12</v>
      </c>
    </row>
    <row r="5" spans="1:3" ht="15.75" customHeight="1">
      <c r="A5" t="s">
        <v>117</v>
      </c>
      <c r="B5">
        <v>30</v>
      </c>
      <c r="C5" t="s">
        <v>4</v>
      </c>
    </row>
    <row r="6" spans="1:3" ht="15.75" customHeight="1">
      <c r="B6">
        <f>RADIANS(B5)</f>
        <v>0.52359877559829882</v>
      </c>
      <c r="C6" t="s">
        <v>9</v>
      </c>
    </row>
    <row r="7" spans="1:3" ht="15.75" customHeight="1"/>
    <row r="8" spans="1:3" ht="15.75" customHeight="1">
      <c r="A8" t="s">
        <v>46</v>
      </c>
      <c r="B8">
        <f>B2*0.1</f>
        <v>2.1</v>
      </c>
      <c r="C8" t="s">
        <v>21</v>
      </c>
    </row>
    <row r="9" spans="1:3" ht="15.75" customHeight="1"/>
    <row r="10" spans="1:3" ht="15.75" customHeight="1">
      <c r="A10" t="s">
        <v>125</v>
      </c>
      <c r="B10">
        <f>B8*SIN(RADIANS(30))</f>
        <v>1.0499999999999998</v>
      </c>
      <c r="C10" t="s">
        <v>21</v>
      </c>
    </row>
    <row r="11" spans="1:3" ht="15.75" customHeight="1">
      <c r="A11" t="s">
        <v>42</v>
      </c>
      <c r="B11">
        <f>0.1/SIN(RADIANS(30))</f>
        <v>0.20000000000000004</v>
      </c>
    </row>
    <row r="12" spans="1:3" ht="15.75" customHeight="1">
      <c r="A12" t="s">
        <v>132</v>
      </c>
      <c r="B12">
        <f>B10/B11</f>
        <v>5.2499999999999982</v>
      </c>
      <c r="C12" t="s">
        <v>5</v>
      </c>
    </row>
    <row r="13" spans="1:3" ht="15.75" customHeight="1"/>
    <row r="14" spans="1:3" ht="15.75" customHeight="1">
      <c r="A14" t="s">
        <v>132</v>
      </c>
      <c r="B14" s="2">
        <f>(-B8*SIN(B6))/(B11)</f>
        <v>-5.2499999999999982</v>
      </c>
      <c r="C14" t="s">
        <v>5</v>
      </c>
    </row>
    <row r="15" spans="1:3" ht="15.75" customHeight="1"/>
    <row r="16" spans="1:3" ht="15.75" customHeight="1">
      <c r="A16" t="s">
        <v>138</v>
      </c>
      <c r="B16">
        <f>-B8*COS(B6)</f>
        <v>-1.8186533479473213</v>
      </c>
    </row>
    <row r="17" spans="1:3" ht="15.75" customHeight="1"/>
    <row r="18" spans="1:3" ht="15.75" customHeight="1">
      <c r="A18" s="1" t="s">
        <v>31</v>
      </c>
    </row>
    <row r="19" spans="1:3" ht="15.75" customHeight="1">
      <c r="A19" t="s">
        <v>139</v>
      </c>
      <c r="B19">
        <f>-(B2^2)*0.1</f>
        <v>-44.1</v>
      </c>
    </row>
    <row r="20" spans="1:3" ht="15.75" customHeight="1">
      <c r="A20" t="s">
        <v>143</v>
      </c>
      <c r="B20" s="2">
        <f>-(B19*COS(B6)+2*(B14*B16))/(B11)</f>
        <v>95.479300767234392</v>
      </c>
      <c r="C20" t="s">
        <v>65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spans="1:6" ht="15.75" customHeight="1"/>
    <row r="34" spans="1:6" ht="15.75" customHeight="1">
      <c r="B34" s="2"/>
    </row>
    <row r="35" spans="1:6" ht="15.75" customHeight="1"/>
    <row r="36" spans="1:6" ht="15.75" customHeight="1">
      <c r="A36" s="1" t="s">
        <v>35</v>
      </c>
      <c r="B36" s="13"/>
      <c r="C36" s="13"/>
    </row>
    <row r="37" spans="1:6" ht="15.75" customHeight="1">
      <c r="A37" s="13" t="s">
        <v>46</v>
      </c>
      <c r="B37" s="15">
        <v>4.2</v>
      </c>
      <c r="C37" s="13" t="s">
        <v>21</v>
      </c>
    </row>
    <row r="38" spans="1:6" ht="15.75" customHeight="1">
      <c r="A38" s="13" t="s">
        <v>3</v>
      </c>
      <c r="B38" s="15">
        <v>29</v>
      </c>
      <c r="C38" s="13" t="s">
        <v>4</v>
      </c>
    </row>
    <row r="39" spans="1:6" ht="15.75" customHeight="1">
      <c r="A39" s="13"/>
      <c r="B39" s="13">
        <f>RADIANS(B38)</f>
        <v>0.50614548307835561</v>
      </c>
      <c r="C39" s="13"/>
    </row>
    <row r="40" spans="1:6" ht="15.75" customHeight="1">
      <c r="A40" s="13" t="s">
        <v>23</v>
      </c>
      <c r="B40" s="15">
        <v>160</v>
      </c>
      <c r="C40" s="13" t="s">
        <v>7</v>
      </c>
    </row>
    <row r="41" spans="1:6" ht="15.75" customHeight="1">
      <c r="A41" s="13"/>
      <c r="B41" s="13">
        <f>B40/1000</f>
        <v>0.16</v>
      </c>
      <c r="C41" s="13" t="s">
        <v>12</v>
      </c>
    </row>
    <row r="42" spans="1:6" ht="15.75" customHeight="1">
      <c r="A42" s="13" t="s">
        <v>27</v>
      </c>
      <c r="B42" s="15">
        <v>160</v>
      </c>
      <c r="C42" s="13" t="s">
        <v>7</v>
      </c>
    </row>
    <row r="43" spans="1:6" ht="15.75" customHeight="1">
      <c r="A43" s="13"/>
      <c r="B43" s="13">
        <f>B42/1000</f>
        <v>0.16</v>
      </c>
      <c r="C43" s="13" t="s">
        <v>12</v>
      </c>
    </row>
    <row r="44" spans="1:6" ht="15.75" customHeight="1">
      <c r="A44" s="13" t="s">
        <v>152</v>
      </c>
      <c r="B44" s="15">
        <v>215</v>
      </c>
      <c r="C44" s="13" t="s">
        <v>7</v>
      </c>
    </row>
    <row r="45" spans="1:6" ht="15.75" customHeight="1">
      <c r="A45" s="13"/>
      <c r="B45" s="13">
        <f>B44/1000</f>
        <v>0.215</v>
      </c>
      <c r="C45" s="13" t="s">
        <v>12</v>
      </c>
    </row>
    <row r="46" spans="1:6" ht="15.75" customHeight="1">
      <c r="A46" s="13"/>
      <c r="B46" s="13"/>
      <c r="C46" s="13"/>
    </row>
    <row r="47" spans="1:6" ht="15.75" customHeight="1">
      <c r="A47" s="13"/>
      <c r="B47" s="13"/>
      <c r="C47" s="13"/>
      <c r="E47" s="8" t="s">
        <v>153</v>
      </c>
    </row>
    <row r="48" spans="1:6" ht="15.75" customHeight="1">
      <c r="A48" s="17" t="s">
        <v>32</v>
      </c>
      <c r="B48" s="17">
        <v>5.7167703400000001</v>
      </c>
      <c r="C48" s="13" t="s">
        <v>21</v>
      </c>
      <c r="D48" s="7" t="s">
        <v>154</v>
      </c>
      <c r="E48">
        <f>B45/COS(B39)</f>
        <v>0.24582112459276381</v>
      </c>
      <c r="F48" s="7" t="s">
        <v>12</v>
      </c>
    </row>
    <row r="49" spans="1:7" ht="15.75" customHeight="1">
      <c r="A49" s="17" t="s">
        <v>155</v>
      </c>
      <c r="B49" s="17">
        <v>38.111802300000001</v>
      </c>
      <c r="C49" s="13" t="s">
        <v>5</v>
      </c>
      <c r="D49" s="7" t="s">
        <v>32</v>
      </c>
      <c r="E49">
        <f>B37/COS(B39)</f>
        <v>4.8020870850679449</v>
      </c>
      <c r="F49" s="7" t="s">
        <v>21</v>
      </c>
    </row>
    <row r="50" spans="1:7" ht="15.75" customHeight="1">
      <c r="A50" s="17"/>
      <c r="B50" s="17"/>
      <c r="C50" s="13"/>
      <c r="D50" s="12" t="s">
        <v>155</v>
      </c>
      <c r="E50">
        <f>E49/B43</f>
        <v>30.013044281674656</v>
      </c>
      <c r="F50" s="7" t="s">
        <v>5</v>
      </c>
    </row>
    <row r="51" spans="1:7" ht="15.75" customHeight="1">
      <c r="A51" s="17" t="s">
        <v>158</v>
      </c>
      <c r="B51" s="17">
        <v>0.30298882999999999</v>
      </c>
      <c r="C51" s="13" t="s">
        <v>12</v>
      </c>
    </row>
    <row r="52" spans="1:7" ht="15.75" customHeight="1">
      <c r="A52" s="17" t="s">
        <v>159</v>
      </c>
      <c r="B52" s="17">
        <v>11.5474503</v>
      </c>
      <c r="C52" s="13"/>
      <c r="D52" s="7" t="s">
        <v>160</v>
      </c>
      <c r="E52">
        <f>E50*E48</f>
        <v>7.377840297773683</v>
      </c>
      <c r="F52" s="7" t="s">
        <v>21</v>
      </c>
    </row>
    <row r="53" spans="1:7" ht="15.75" customHeight="1">
      <c r="A53" s="17"/>
      <c r="B53" s="17"/>
      <c r="C53" s="13"/>
      <c r="D53" s="7" t="s">
        <v>162</v>
      </c>
      <c r="E53">
        <f>E52*TAN(B39)</f>
        <v>4.0896036572289445</v>
      </c>
      <c r="F53" s="7" t="s">
        <v>21</v>
      </c>
    </row>
    <row r="54" spans="1:7" ht="15.75" customHeight="1">
      <c r="A54" s="17" t="s">
        <v>164</v>
      </c>
      <c r="B54" s="17">
        <v>6.4008562199999997</v>
      </c>
      <c r="C54" s="13" t="s">
        <v>21</v>
      </c>
      <c r="D54" s="7" t="s">
        <v>166</v>
      </c>
      <c r="E54">
        <f>E50^2*B43</f>
        <v>144.12525232860222</v>
      </c>
      <c r="F54" s="7" t="s">
        <v>78</v>
      </c>
    </row>
    <row r="55" spans="1:7" ht="15.75" customHeight="1">
      <c r="A55" s="17"/>
      <c r="B55" s="17"/>
      <c r="C55" s="13"/>
      <c r="D55" s="7" t="s">
        <v>167</v>
      </c>
      <c r="E55">
        <f>E54*TAN(B39)</f>
        <v>79.889931908658482</v>
      </c>
      <c r="F55" s="7" t="s">
        <v>78</v>
      </c>
    </row>
    <row r="56" spans="1:7" ht="15.75" customHeight="1">
      <c r="A56" s="17" t="s">
        <v>168</v>
      </c>
      <c r="B56" s="17">
        <v>217.87642099999999</v>
      </c>
      <c r="C56" s="13" t="s">
        <v>78</v>
      </c>
    </row>
    <row r="57" spans="1:7" ht="15.75" customHeight="1">
      <c r="A57" s="17" t="s">
        <v>169</v>
      </c>
      <c r="B57" s="17">
        <v>120.770872</v>
      </c>
      <c r="C57" s="13" t="s">
        <v>78</v>
      </c>
      <c r="D57" s="7" t="s">
        <v>171</v>
      </c>
      <c r="E57">
        <f>E55/B43</f>
        <v>499.31207442911551</v>
      </c>
      <c r="F57" s="7" t="s">
        <v>65</v>
      </c>
      <c r="G57" s="7" t="s">
        <v>172</v>
      </c>
    </row>
    <row r="58" spans="1:7" ht="15.75" customHeight="1">
      <c r="A58" s="17"/>
      <c r="B58" s="17"/>
      <c r="C58" s="13"/>
      <c r="E58">
        <f>RADIANS(90-B38)</f>
        <v>1.064650843716541</v>
      </c>
    </row>
    <row r="59" spans="1:7" ht="15.75" customHeight="1">
      <c r="A59" s="17" t="s">
        <v>171</v>
      </c>
      <c r="B59" s="17">
        <v>805.13914699999998</v>
      </c>
      <c r="C59" s="13" t="s">
        <v>65</v>
      </c>
      <c r="D59" s="7" t="s">
        <v>174</v>
      </c>
      <c r="E59">
        <f>E52/TAN(E58)</f>
        <v>4.0896036572289454</v>
      </c>
      <c r="F59" s="7" t="s">
        <v>21</v>
      </c>
    </row>
    <row r="60" spans="1:7" ht="15.75" customHeight="1">
      <c r="A60" s="17"/>
      <c r="B60" s="17"/>
      <c r="C60" s="13"/>
      <c r="D60" s="7" t="s">
        <v>176</v>
      </c>
      <c r="E60">
        <f>(E50^2*E48*COS(B39)+E57*E48*SIN(B39)+2*E50*E59*SIN(B39))/COS(B39)</f>
        <v>425.5415471408744</v>
      </c>
      <c r="F60" s="7" t="s">
        <v>78</v>
      </c>
    </row>
    <row r="61" spans="1:7" ht="15.75" customHeight="1">
      <c r="A61" s="17"/>
      <c r="B61" s="17"/>
      <c r="C61" s="13"/>
      <c r="D61" s="18" t="s">
        <v>177</v>
      </c>
      <c r="E61" s="11">
        <f>-(E50^2)*E48*SIN(B39)+E57*E48*COS(B39)+2*E50*E59*COS(B39)+E60*SIN(B39)</f>
        <v>421.0108278729258</v>
      </c>
      <c r="F61" s="18" t="s">
        <v>78</v>
      </c>
    </row>
    <row r="62" spans="1:7" ht="15.75" customHeight="1">
      <c r="A62" s="17" t="s">
        <v>178</v>
      </c>
      <c r="B62" s="17">
        <v>440.09414199999998</v>
      </c>
      <c r="C62" s="13" t="s">
        <v>78</v>
      </c>
    </row>
    <row r="63" spans="1:7" ht="15.75" customHeight="1">
      <c r="A63" s="17" t="s">
        <v>179</v>
      </c>
      <c r="B63" s="17">
        <v>243.94816700000001</v>
      </c>
      <c r="C63" s="13" t="s">
        <v>78</v>
      </c>
    </row>
    <row r="64" spans="1:7" ht="15.75" customHeight="1">
      <c r="A64" s="17"/>
      <c r="B64" s="17"/>
      <c r="C64" s="13"/>
    </row>
    <row r="65" spans="1:3" ht="15.75" customHeight="1">
      <c r="A65" s="17"/>
      <c r="B65" s="17"/>
      <c r="C65" s="13"/>
    </row>
    <row r="66" spans="1:3" ht="15.75" customHeight="1">
      <c r="A66" s="17" t="s">
        <v>96</v>
      </c>
      <c r="B66" s="17">
        <v>487.89633300000003</v>
      </c>
      <c r="C66" s="13" t="s">
        <v>78</v>
      </c>
    </row>
    <row r="67" spans="1:3" ht="15.75" customHeight="1">
      <c r="A67" s="17"/>
      <c r="B67" s="17"/>
      <c r="C67" s="13"/>
    </row>
    <row r="68" spans="1:3" ht="15.75" customHeight="1">
      <c r="A68" s="17"/>
      <c r="B68" s="17"/>
      <c r="C68" s="13"/>
    </row>
    <row r="69" spans="1:3" ht="15.75" customHeight="1">
      <c r="A69" s="17" t="s">
        <v>180</v>
      </c>
      <c r="B69" s="19">
        <v>836.757386</v>
      </c>
      <c r="C69" s="13" t="s">
        <v>78</v>
      </c>
    </row>
    <row r="70" spans="1:3" ht="15.75" customHeight="1"/>
    <row r="71" spans="1:3" ht="15.75" customHeight="1"/>
    <row r="72" spans="1:3" ht="15.75" customHeight="1"/>
    <row r="73" spans="1:3" ht="15.75" customHeight="1"/>
    <row r="74" spans="1:3" ht="15.75" customHeight="1"/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topLeftCell="A17" workbookViewId="0">
      <selection activeCell="B59" sqref="B59"/>
    </sheetView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12</v>
      </c>
      <c r="B2" s="4">
        <v>24</v>
      </c>
      <c r="C2" t="s">
        <v>122</v>
      </c>
    </row>
    <row r="3" spans="1:3" ht="15.75" customHeight="1">
      <c r="A3" t="s">
        <v>123</v>
      </c>
      <c r="B3" s="4">
        <v>4.8</v>
      </c>
      <c r="C3" t="s">
        <v>12</v>
      </c>
    </row>
    <row r="4" spans="1:3" ht="15.75" customHeight="1"/>
    <row r="5" spans="1:3" ht="15.75" customHeight="1">
      <c r="A5" t="s">
        <v>38</v>
      </c>
      <c r="B5">
        <f>(B2*9.81*(B3/2)*3)/(B2*B3^2)</f>
        <v>3.0656249999999994</v>
      </c>
    </row>
    <row r="6" spans="1:3" ht="15.75" customHeight="1"/>
    <row r="7" spans="1:3" ht="15.75" customHeight="1">
      <c r="A7" t="s">
        <v>124</v>
      </c>
      <c r="B7" s="2">
        <f>B2*9.81-B2*B5*(B3/2)</f>
        <v>58.860000000000042</v>
      </c>
    </row>
    <row r="8" spans="1:3" ht="15.75" customHeight="1"/>
    <row r="9" spans="1:3" ht="15.75" customHeight="1"/>
    <row r="10" spans="1:3" ht="15.75" customHeight="1">
      <c r="A10" s="1" t="s">
        <v>31</v>
      </c>
    </row>
    <row r="11" spans="1:3" ht="15.75" customHeight="1">
      <c r="A11" t="s">
        <v>12</v>
      </c>
      <c r="B11" s="5">
        <v>10</v>
      </c>
      <c r="C11" t="s">
        <v>122</v>
      </c>
    </row>
    <row r="12" spans="1:3" ht="15.75" customHeight="1">
      <c r="A12" t="s">
        <v>124</v>
      </c>
      <c r="B12" s="4">
        <v>0.11</v>
      </c>
      <c r="C12" t="s">
        <v>12</v>
      </c>
    </row>
    <row r="13" spans="1:3" ht="15.75" customHeight="1">
      <c r="A13" t="s">
        <v>126</v>
      </c>
      <c r="B13" s="4">
        <v>200</v>
      </c>
      <c r="C13" t="s">
        <v>127</v>
      </c>
    </row>
    <row r="14" spans="1:3" ht="15.75" customHeight="1">
      <c r="A14" t="s">
        <v>128</v>
      </c>
      <c r="B14" s="4">
        <v>0.2</v>
      </c>
    </row>
    <row r="15" spans="1:3" ht="15.75" customHeight="1">
      <c r="A15" t="s">
        <v>129</v>
      </c>
      <c r="B15" s="4">
        <v>0.14000000000000001</v>
      </c>
    </row>
    <row r="16" spans="1:3" ht="15.75" customHeight="1"/>
    <row r="17" spans="1:3" ht="15.75" customHeight="1"/>
    <row r="18" spans="1:3" ht="15.75" customHeight="1">
      <c r="A18" t="s">
        <v>130</v>
      </c>
      <c r="B18">
        <f>(B11*B12^2)/2+B11*B12^2</f>
        <v>0.18149999999999999</v>
      </c>
      <c r="C18" t="s">
        <v>131</v>
      </c>
    </row>
    <row r="19" spans="1:3" ht="15.75" customHeight="1">
      <c r="A19" t="s">
        <v>38</v>
      </c>
      <c r="B19">
        <f>(B13*B12)/B18</f>
        <v>121.21212121212122</v>
      </c>
      <c r="C19" t="s">
        <v>65</v>
      </c>
    </row>
    <row r="20" spans="1:3" ht="15.75" customHeight="1"/>
    <row r="21" spans="1:3" ht="15.75" customHeight="1">
      <c r="A21" t="s">
        <v>134</v>
      </c>
      <c r="B21">
        <f>B15*B22</f>
        <v>13.734000000000002</v>
      </c>
      <c r="C21" t="s">
        <v>127</v>
      </c>
    </row>
    <row r="22" spans="1:3" ht="15.75" customHeight="1">
      <c r="A22" t="s">
        <v>127</v>
      </c>
      <c r="B22">
        <f>B11*9.81</f>
        <v>98.100000000000009</v>
      </c>
      <c r="C22" t="s">
        <v>127</v>
      </c>
    </row>
    <row r="23" spans="1:3" ht="15.75" customHeight="1"/>
    <row r="24" spans="1:3" ht="15.75" customHeight="1">
      <c r="A24" t="s">
        <v>38</v>
      </c>
      <c r="B24" s="2">
        <f>(B13-B21)/B11</f>
        <v>18.6266</v>
      </c>
      <c r="C24" t="s">
        <v>78</v>
      </c>
    </row>
    <row r="25" spans="1:3" ht="15.75" customHeight="1"/>
    <row r="26" spans="1:3" ht="15.75" customHeight="1">
      <c r="A26" s="1" t="s">
        <v>35</v>
      </c>
    </row>
    <row r="27" spans="1:3" ht="15.75" customHeight="1">
      <c r="A27" t="s">
        <v>38</v>
      </c>
      <c r="B27" s="2">
        <f>(-2*B21*B12)/(B11*B12^2)</f>
        <v>-24.970909090909096</v>
      </c>
      <c r="C27" t="s">
        <v>65</v>
      </c>
    </row>
    <row r="28" spans="1:3" ht="15.75" customHeight="1"/>
    <row r="29" spans="1:3" ht="15.75" customHeight="1"/>
    <row r="30" spans="1:3" ht="15.75" customHeight="1">
      <c r="A30" s="1" t="s">
        <v>55</v>
      </c>
    </row>
    <row r="31" spans="1:3" ht="15.75" customHeight="1">
      <c r="A31" t="s">
        <v>48</v>
      </c>
      <c r="B31" s="4">
        <v>9</v>
      </c>
      <c r="C31" t="s">
        <v>5</v>
      </c>
    </row>
    <row r="32" spans="1:3" ht="15.75" customHeight="1">
      <c r="A32" t="s">
        <v>144</v>
      </c>
      <c r="B32" s="4">
        <v>3</v>
      </c>
      <c r="C32" t="s">
        <v>65</v>
      </c>
    </row>
    <row r="33" spans="1:3" ht="15.75" customHeight="1">
      <c r="A33" t="s">
        <v>146</v>
      </c>
      <c r="B33" s="4">
        <v>7</v>
      </c>
      <c r="C33" t="s">
        <v>122</v>
      </c>
    </row>
    <row r="34" spans="1:3" ht="15.75" customHeight="1">
      <c r="A34" t="s">
        <v>148</v>
      </c>
      <c r="B34" s="4">
        <v>8</v>
      </c>
      <c r="C34" t="s">
        <v>122</v>
      </c>
    </row>
    <row r="35" spans="1:3" ht="15.75" customHeight="1">
      <c r="A35" t="s">
        <v>149</v>
      </c>
      <c r="B35" s="4">
        <v>390</v>
      </c>
      <c r="C35" t="s">
        <v>7</v>
      </c>
    </row>
    <row r="36" spans="1:3" ht="15.75" customHeight="1">
      <c r="B36">
        <f>B35*0.001</f>
        <v>0.39</v>
      </c>
      <c r="C36" t="s">
        <v>12</v>
      </c>
    </row>
    <row r="37" spans="1:3" ht="15.75" customHeight="1">
      <c r="A37" t="s">
        <v>33</v>
      </c>
      <c r="B37" s="4">
        <v>140</v>
      </c>
      <c r="C37" t="s">
        <v>7</v>
      </c>
    </row>
    <row r="38" spans="1:3" ht="15.75" customHeight="1">
      <c r="B38">
        <f>B37*0.001</f>
        <v>0.14000000000000001</v>
      </c>
      <c r="C38" t="s">
        <v>12</v>
      </c>
    </row>
    <row r="39" spans="1:3" ht="15.75" customHeight="1">
      <c r="A39" t="s">
        <v>58</v>
      </c>
      <c r="B39" s="4">
        <v>600</v>
      </c>
      <c r="C39" t="s">
        <v>7</v>
      </c>
    </row>
    <row r="40" spans="1:3" ht="15.75" customHeight="1">
      <c r="B40">
        <f>B39*0.001</f>
        <v>0.6</v>
      </c>
      <c r="C40" t="s">
        <v>12</v>
      </c>
    </row>
    <row r="41" spans="1:3" ht="15.75" customHeight="1"/>
    <row r="42" spans="1:3" ht="15.75" customHeight="1"/>
    <row r="43" spans="1:3" ht="15.75" customHeight="1">
      <c r="A43" t="s">
        <v>20</v>
      </c>
      <c r="B43">
        <f>SQRT(B38^2+B36^2-2*B38*B36*COS(PI()/4))</f>
        <v>0.30738239945453777</v>
      </c>
      <c r="C43" t="s">
        <v>12</v>
      </c>
    </row>
    <row r="44" spans="1:3" ht="15.75" customHeight="1">
      <c r="A44" t="s">
        <v>49</v>
      </c>
      <c r="B44">
        <f>ASIN((SIN(PI()/4)*B38)/B43)</f>
        <v>0.32790246785850907</v>
      </c>
      <c r="C44" t="s">
        <v>9</v>
      </c>
    </row>
    <row r="45" spans="1:3" ht="15.75" customHeight="1">
      <c r="B45">
        <f>DEGREES(B44)</f>
        <v>18.787427500216697</v>
      </c>
      <c r="C45" t="s">
        <v>4</v>
      </c>
    </row>
    <row r="46" spans="1:3" ht="15.75" customHeight="1">
      <c r="A46" t="s">
        <v>22</v>
      </c>
      <c r="B46">
        <f>90-45-B45</f>
        <v>26.212572499783303</v>
      </c>
      <c r="C46" t="s">
        <v>4</v>
      </c>
    </row>
    <row r="47" spans="1:3" ht="15.75" customHeight="1">
      <c r="B47">
        <f>RADIANS(B46)</f>
        <v>0.45749569553893926</v>
      </c>
      <c r="C47" t="s">
        <v>9</v>
      </c>
    </row>
    <row r="48" spans="1:3" ht="15.75" customHeight="1"/>
    <row r="49" spans="1:3" ht="15.75" customHeight="1">
      <c r="A49" t="s">
        <v>156</v>
      </c>
      <c r="B49">
        <f>B31^2*0.5*B38</f>
        <v>5.6700000000000008</v>
      </c>
      <c r="C49" t="s">
        <v>78</v>
      </c>
    </row>
    <row r="50" spans="1:3" ht="15.75" customHeight="1">
      <c r="A50" t="s">
        <v>157</v>
      </c>
      <c r="B50">
        <f>B32*0.5*B38</f>
        <v>0.21000000000000002</v>
      </c>
      <c r="C50" t="s">
        <v>78</v>
      </c>
    </row>
    <row r="51" spans="1:3" ht="15.75" customHeight="1">
      <c r="A51" t="s">
        <v>161</v>
      </c>
      <c r="B51">
        <f>B50+B49</f>
        <v>5.8800000000000008</v>
      </c>
      <c r="C51" t="s">
        <v>78</v>
      </c>
    </row>
    <row r="52" spans="1:3" ht="15.75" customHeight="1"/>
    <row r="53" spans="1:3" ht="15.75" customHeight="1">
      <c r="A53" t="s">
        <v>163</v>
      </c>
      <c r="B53">
        <f>(B33*B38^2)/3</f>
        <v>4.5733333333333341E-2</v>
      </c>
      <c r="C53" t="s">
        <v>165</v>
      </c>
    </row>
    <row r="54" spans="1:3" ht="15.75" customHeight="1"/>
    <row r="55" spans="1:3" ht="15.75" customHeight="1">
      <c r="A55" t="s">
        <v>134</v>
      </c>
      <c r="B55">
        <f>(-B53*B32-B33*9.81*COS(PI()/4)*(B38/2))/(SIN(B47)*B38)</f>
        <v>-57.184413131161243</v>
      </c>
      <c r="C55" t="s">
        <v>127</v>
      </c>
    </row>
    <row r="56" spans="1:3" ht="15.75" customHeight="1"/>
    <row r="57" spans="1:3" ht="15.75" customHeight="1">
      <c r="A57" t="s">
        <v>170</v>
      </c>
      <c r="B57">
        <f>B55*COS(B47)+B33*9.81*SIN(PI()/4)-B33*B49</f>
        <v>-42.436629354509336</v>
      </c>
      <c r="C57" t="s">
        <v>127</v>
      </c>
    </row>
    <row r="58" spans="1:3" ht="15.75" customHeight="1">
      <c r="A58" t="s">
        <v>173</v>
      </c>
      <c r="B58">
        <f>B33*9.81*COS(PI()/4)+B55*SIN(B47)+B33*B50</f>
        <v>24.768511332040109</v>
      </c>
      <c r="C58" t="s">
        <v>127</v>
      </c>
    </row>
    <row r="59" spans="1:3" ht="15.75" customHeight="1">
      <c r="A59" t="s">
        <v>175</v>
      </c>
      <c r="B59" s="2">
        <f>SQRT(B57^2+B58^2)</f>
        <v>49.136001715416391</v>
      </c>
      <c r="C59" t="s">
        <v>127</v>
      </c>
    </row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tabSelected="1" workbookViewId="0">
      <selection activeCell="B22" sqref="B22"/>
    </sheetView>
  </sheetViews>
  <sheetFormatPr defaultColWidth="11.25" defaultRowHeight="15" customHeight="1"/>
  <cols>
    <col min="1" max="26" width="10.58203125" customWidth="1"/>
  </cols>
  <sheetData>
    <row r="1" spans="1:3" ht="15.75" customHeight="1">
      <c r="A1" s="1" t="s">
        <v>0</v>
      </c>
    </row>
    <row r="2" spans="1:3" ht="15.75" customHeight="1">
      <c r="A2" t="s">
        <v>12</v>
      </c>
      <c r="B2" s="4">
        <v>35</v>
      </c>
      <c r="C2" t="s">
        <v>122</v>
      </c>
    </row>
    <row r="3" spans="1:3" ht="15.75" customHeight="1">
      <c r="A3" t="s">
        <v>123</v>
      </c>
      <c r="B3" s="4">
        <v>83</v>
      </c>
      <c r="C3" t="s">
        <v>12</v>
      </c>
    </row>
    <row r="4" spans="1:3" ht="15.75" customHeight="1"/>
    <row r="5" spans="1:3" ht="15.75" customHeight="1"/>
    <row r="6" spans="1:3" ht="15.75" customHeight="1">
      <c r="A6" t="s">
        <v>53</v>
      </c>
      <c r="B6" s="2">
        <f>-1.66*SQRT(9.81/B3)</f>
        <v>-0.57069431397202475</v>
      </c>
    </row>
    <row r="7" spans="1:3" ht="15.75" customHeight="1"/>
    <row r="8" spans="1:3" ht="15.75" customHeight="1"/>
    <row r="9" spans="1:3" ht="15.75" customHeight="1">
      <c r="A9" s="1" t="s">
        <v>31</v>
      </c>
    </row>
    <row r="10" spans="1:3" ht="15.75" customHeight="1">
      <c r="A10" t="s">
        <v>12</v>
      </c>
      <c r="B10" s="4">
        <v>5</v>
      </c>
      <c r="C10" t="s">
        <v>122</v>
      </c>
    </row>
    <row r="11" spans="1:3" ht="15.75" customHeight="1">
      <c r="A11" t="s">
        <v>133</v>
      </c>
      <c r="B11" s="4">
        <v>0.6</v>
      </c>
      <c r="C11" t="s">
        <v>21</v>
      </c>
    </row>
    <row r="12" spans="1:3" ht="15.75" customHeight="1">
      <c r="A12" t="s">
        <v>135</v>
      </c>
      <c r="B12" s="4">
        <v>0.9</v>
      </c>
      <c r="C12" t="s">
        <v>12</v>
      </c>
    </row>
    <row r="13" spans="1:3" ht="15.75" customHeight="1">
      <c r="A13" t="s">
        <v>136</v>
      </c>
      <c r="B13" s="4">
        <v>16</v>
      </c>
      <c r="C13" t="s">
        <v>122</v>
      </c>
    </row>
    <row r="14" spans="1:3" ht="15.75" customHeight="1">
      <c r="A14" t="s">
        <v>137</v>
      </c>
      <c r="B14" s="4">
        <v>240</v>
      </c>
      <c r="C14" t="s">
        <v>7</v>
      </c>
    </row>
    <row r="15" spans="1:3" ht="15.75" customHeight="1">
      <c r="B15">
        <f>B14*0.001</f>
        <v>0.24</v>
      </c>
      <c r="C15" t="s">
        <v>12</v>
      </c>
    </row>
    <row r="16" spans="1:3" ht="15.75" customHeight="1">
      <c r="A16" t="s">
        <v>104</v>
      </c>
      <c r="B16" s="5">
        <v>200</v>
      </c>
      <c r="C16" t="s">
        <v>7</v>
      </c>
    </row>
    <row r="17" spans="1:3" ht="15.75" customHeight="1">
      <c r="B17">
        <f>B16*0.001</f>
        <v>0.2</v>
      </c>
      <c r="C17" t="s">
        <v>12</v>
      </c>
    </row>
    <row r="18" spans="1:3" ht="15.75" customHeight="1">
      <c r="A18" t="s">
        <v>140</v>
      </c>
      <c r="B18" s="4">
        <v>4</v>
      </c>
      <c r="C18" t="s">
        <v>141</v>
      </c>
    </row>
    <row r="19" spans="1:3" ht="15.75" customHeight="1"/>
    <row r="20" spans="1:3" ht="15.75" customHeight="1"/>
    <row r="21" spans="1:3" ht="15.75" customHeight="1">
      <c r="A21" t="s">
        <v>142</v>
      </c>
      <c r="B21">
        <f>0.5*B10*B11^2+0.5*B13*B15^2*(B11/B17)^2</f>
        <v>5.0471999999999984</v>
      </c>
      <c r="C21" t="s">
        <v>145</v>
      </c>
    </row>
    <row r="22" spans="1:3" ht="15.75" customHeight="1">
      <c r="A22" t="s">
        <v>147</v>
      </c>
      <c r="B22">
        <f>B10*9.81*B12-B18*(B12/B17)</f>
        <v>26.145000000000003</v>
      </c>
      <c r="C22" t="s">
        <v>145</v>
      </c>
    </row>
    <row r="23" spans="1:3" ht="15.75" customHeight="1">
      <c r="A23" t="s">
        <v>150</v>
      </c>
      <c r="B23">
        <f>0.5*B10+0.5*B13*B15^2*(1/B17)^2</f>
        <v>14.02</v>
      </c>
      <c r="C23" t="s">
        <v>151</v>
      </c>
    </row>
    <row r="24" spans="1:3" ht="15.75" customHeight="1"/>
    <row r="25" spans="1:3" ht="15.75" customHeight="1">
      <c r="A25" t="s">
        <v>151</v>
      </c>
      <c r="B25">
        <f>(B21+B22)/B23</f>
        <v>2.2248359486447931</v>
      </c>
    </row>
    <row r="26" spans="1:3" ht="15.75" customHeight="1">
      <c r="A26" t="s">
        <v>133</v>
      </c>
      <c r="B26" s="16">
        <f>SQRT(B25)</f>
        <v>1.4915883978647706</v>
      </c>
      <c r="C26" t="s">
        <v>21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A 1</vt:lpstr>
      <vt:lpstr>Part A 2</vt:lpstr>
      <vt:lpstr>PART A 3</vt:lpstr>
      <vt:lpstr>Part A 4</vt:lpstr>
      <vt:lpstr>PART A 5</vt:lpstr>
      <vt:lpstr>PART A 6</vt:lpstr>
      <vt:lpstr>PART A 7</vt:lpstr>
      <vt:lpstr>PART A 8</vt:lpstr>
      <vt:lpstr>PART A 9</vt:lpstr>
      <vt:lpstr>PART 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Shahi</dc:creator>
  <cp:lastModifiedBy>Dan</cp:lastModifiedBy>
  <dcterms:created xsi:type="dcterms:W3CDTF">2019-08-15T03:11:00Z</dcterms:created>
  <dcterms:modified xsi:type="dcterms:W3CDTF">2019-08-16T14:36:10Z</dcterms:modified>
</cp:coreProperties>
</file>